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505CA577-BF84-48BD-A6AF-F43594613F9A}" xr6:coauthVersionLast="47" xr6:coauthVersionMax="47" xr10:uidLastSave="{00000000-0000-0000-0000-000000000000}"/>
  <bookViews>
    <workbookView xWindow="1905" yWindow="1905" windowWidth="15375" windowHeight="7875" xr2:uid="{00000000-000D-0000-FFFF-FFFF00000000}"/>
  </bookViews>
  <sheets>
    <sheet name="Índice anual" sheetId="1" r:id="rId1"/>
    <sheet name="Fuentes y criterio" sheetId="2" r:id="rId2"/>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8" i="2" l="1"/>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<sst xmlns="http://schemas.openxmlformats.org/spreadsheetml/2006/main" count="43267" uniqueCount="12999">
  <si>
    <t>Índice onomástico anual · Gazeta de Madrid</t>
  </si>
  <si>
    <t>Números 1 a 104 · 3 de enero–28 de diciembre de 1804</t>
  </si>
  <si>
    <t>Registros: 5.340</t>
  </si>
  <si>
    <t>Ordenación aproximada por apellidos; cada fila enlaza con la página del facsímil oficial.</t>
  </si>
  <si>
    <t>Aviso: la fuente histórica se procesó con OCR. Las filas marcadas «Cotejar OCR» deben verificarse antes de una cita formal.</t>
  </si>
  <si>
    <t>Apellidos y nombre (orden estimado)</t>
  </si>
  <si>
    <t>Nombre leído</t>
  </si>
  <si>
    <t>Motivo de aparición</t>
  </si>
  <si>
    <t>Organismo o sección</t>
  </si>
  <si>
    <t>Fecha</t>
  </si>
  <si>
    <t>Nº Gazeta</t>
  </si>
  <si>
    <t>Página</t>
  </si>
  <si>
    <t>Observaciones</t>
  </si>
  <si>
    <t>Extracto original OCR</t>
  </si>
  <si>
    <t>Facsímil (página)</t>
  </si>
  <si>
    <t>Estado de lectura</t>
  </si>
  <si>
    <t>Abad Berault-Bercastel</t>
  </si>
  <si>
    <t>Mencionado en una noticia, disposición o aviso de España.</t>
  </si>
  <si>
    <t>Noticias de España</t>
  </si>
  <si>
    <t>27 de julio de 1804</t>
  </si>
  <si>
    <t>Transcripción del OCR histórico; compruebe la grafía en el facsímil.</t>
  </si>
  <si>
    <t>la misma prontitud que el 2.a Historia eclesiástica, escrita en francés por el Abad Berault-Bercastel, Canónigo de la iglesia de Noyon, traducida ai castellano, y enriquecida con notas por lo perteneciente á España: tomo 3.0, que comprehende desde la muerte del Emperador Constantino, en el</t>
  </si>
  <si>
    <t>Cotejar OCR</t>
  </si>
  <si>
    <t>13 de noviembre de 1804</t>
  </si>
  <si>
    <t>cimiento de la Iglesia hasta el presente Pontificado, escrita en francés por el Abad Berault-Bercastel, Canónigo de Noyon, traducida al castellano, y enriquecida con notas por lo perteneciente á España: tomo 4.0, que comprehende desde la muerte del Gran Teodosio en el año 395 basta la decade</t>
  </si>
  <si>
    <t>Abad Ibáñez, Antonio</t>
  </si>
  <si>
    <t>Antonio Abad Ibáñez</t>
  </si>
  <si>
    <t>Mencionado en un nombramiento, ascenso, concesión o disposición oficial.</t>
  </si>
  <si>
    <t>Nombramientos y disposiciones</t>
  </si>
  <si>
    <t>2 de noviembre de 1804</t>
  </si>
  <si>
    <t>la Vara de Alcalde mayor de la villa de Lezuza á D. Josef Vallugera y Nuñez: para la de Brihnega á D. Antonio Abad Ibañez ; y para la de la Seca á D. Ramón Alonso de Soto. Habiendo conferido S. M. á D. Martin de Garay la Intendencia de la provincia de Murcia, ha venido en nombrarle para el Corregimie</t>
  </si>
  <si>
    <t>Abad y Cismé, Manuel</t>
  </si>
  <si>
    <t>Manuel Abad y Cismé</t>
  </si>
  <si>
    <t>15 de junio de 1804</t>
  </si>
  <si>
    <t>alaxara , vacante por promoción* de D. Mateo Valdemoros á la Asesoría togada de la isla de Ibiza, á Don Manuel Abad y Cismé. , A, , . , t Asimismo ha nombrado el Rey para la V ara de Alcalde mayor de la villa de Dos-Barrios á D. Josef Victnte de Arrióla: para la de Azuaga á D. Carlos Guerrero, ambas de</t>
  </si>
  <si>
    <t>Abad, Manuel</t>
  </si>
  <si>
    <t>Manuel Abad</t>
  </si>
  <si>
    <t>10 de abril de 1804</t>
  </si>
  <si>
    <t>una Ración de la parroquial de la villa de Estadilla, diócesis de Lérida, vacante por promoción de Don Manuel Abad á la Ganongía de la catedral de Barbastro , á D. Manuel Jayme de Bellostas : para la Dignidad de Paborde del Panadés, oficio regular del monasterio de S. Cugat del Valles, de la C</t>
  </si>
  <si>
    <t>Aballe, Benito</t>
  </si>
  <si>
    <t>Benito Aballe</t>
  </si>
  <si>
    <t>23 de marzo de 1804</t>
  </si>
  <si>
    <t>uinto-D. Miguel Panes, habiendo, nombrado Teniente de artilleros á caballo del segando regimiento á Don Benito Aballe* que lo era de infantería en el propio regimiento. En los regimientos de-caballería de línea del Rey, Calatrava é lnfante , se ha servido el Rey promover, á Sargento mayor, Capitá</t>
  </si>
  <si>
    <t>19 de octubre de 1804</t>
  </si>
  <si>
    <t>al Cuerpo de Artillería se ha servido el Rey nombrar por Ayudantes mayores á los Capitanes segundos D. Benito Aballe , D. Joaquín Lirón, D. Luis Menendez y D. Joaquín Hidalgo Barquero; y por Tenientes de Artilleros á caballo á los Tenientes de infantería D. Manuel Domínguez y D. Luis Sotomayor.</t>
  </si>
  <si>
    <t>Abascal, Cayetano</t>
  </si>
  <si>
    <t>Cayetano Abascal</t>
  </si>
  <si>
    <t>28 de septiembre de 1804</t>
  </si>
  <si>
    <t>se ha servido promover á Capitán segundo en el primer batallón de Voluntarios de Aragón al Teniente D. Cayetano Abascal: á Teniente en el regimiento de infantería de Córdoba al Subteniente D. Juan Bautista Serra; y á Subtenientes de bandera en el del Príncipe y en el batallón de Voluntarios de Vale</t>
  </si>
  <si>
    <t>Abate Requeno</t>
  </si>
  <si>
    <t>20 de noviembre de 1804</t>
  </si>
  <si>
    <t>rra, sacado de los escritores Griegos y Romanos, escrita en italiano por el Sr. Abate Requeno, Académico Clementino, y traducido al castellano por D. Salvador Ximenez Coronado, Presbítero, profesor Real de Astronomía: un tomo en 8.° marquílla, á 10 rs. en rustica y 13 en pasta. Se ha</t>
  </si>
  <si>
    <t>Abaxo, Antonio</t>
  </si>
  <si>
    <t>Antonio Abaxo</t>
  </si>
  <si>
    <t>7 de agosto de 1804</t>
  </si>
  <si>
    <t>y aprovechamiento. El premio de aprovechamiento en el violin se dio *in competencia al seminarista D. Antonio Abaxo, que sin tener 14 años, ■puede admirar al profesor mas diestro y de mas gusto por su extraordinaria facilidad y delicadeza en la execucion de los pasos difíciles que detienen aun</t>
  </si>
  <si>
    <t>Abel</t>
  </si>
  <si>
    <t>Mencionado en una noticia extranjera.</t>
  </si>
  <si>
    <t>Noticias extranjeras</t>
  </si>
  <si>
    <t>10 de julio de 1804</t>
  </si>
  <si>
    <t>istiana, del rito luterano. El Senado de esta ciudad anseática ha enviado sus nuevas credenciales a Mr. Abel, Diputado de las ciudades imperiales, cerca de la corte ue rrancia. Mr.. Hirsinger, Ministro de Francia, ha recibido las suyas,'</t>
  </si>
  <si>
    <t>31 de julio de 1804</t>
  </si>
  <si>
    <t>el Landgrave de Hesse-Darmstadt; Mr. Belluomini, Enviado extraordinario de la Pvepúbliea de Lúea; y Mr. Abel, Ministro residente de. Jas Ciudades anseáticas.</t>
  </si>
  <si>
    <t>Aboy, Andrés</t>
  </si>
  <si>
    <t>Andrés Aboy</t>
  </si>
  <si>
    <t>Citado en un aviso sobre fallecimiento, parentesco, haberes o derechos de herederos.</t>
  </si>
  <si>
    <t>Avisos y anuncios</t>
  </si>
  <si>
    <t>24 de julio de 1804</t>
  </si>
  <si>
    <t>Canongía de merced de la Concepción de Chile, vacante por fallecimiento de D. Jacinto Morí-» lio, á D. Andrés Aboy, Cura de Mochita en aquel obispado: para la Canongía magistral de la catedral de Buenos-Ayres á D. Melchor Fernandez, Catedrático de teología en el Real colegio de S. Carlos de di</t>
  </si>
  <si>
    <t>Abreü, Manuel</t>
  </si>
  <si>
    <t>Manuel Abreü</t>
  </si>
  <si>
    <t>11 de diciembre de 1804</t>
  </si>
  <si>
    <t>gadan, D. Norberto de Mella, D. Juan de Bnstamante, D. Joaquin del Pollo Sagasti, D. Pedro Negréte, D. Manuel Abreü , D. Ignacio del Valle, D. Josef de Santiago, D'. Joaquin Fernandez, D. Bernardo Meruendano, D. Josef del Hoyo,D. Francisco de Murías, D. Mariano Leones, D. Josef Nuñez, D. Franci</t>
  </si>
  <si>
    <t>Acedo y Torres, Francisco</t>
  </si>
  <si>
    <t>Francisco Acedo y Torres</t>
  </si>
  <si>
    <t>24 de febrero de 1804</t>
  </si>
  <si>
    <t>sii bai*gb.” El ijf.dél corriente falleció en esta córte, á los 68 años y 4 meses de fedád , él Sf. D. Francisco Acedo y Torres, Ministro del Consejo Real, crábáilerd de lá orden de S. Juan: fué Colegial mayor en el viejo de San Bartolomé de Salamanca: en 61 obtuvo la Doctoral de la iglesia de Ostira: en 7</t>
  </si>
  <si>
    <t>20 de abril de 1804</t>
  </si>
  <si>
    <t>, í D. Juan Félix García , Racionero de ella: para otra'dé la propia iglesia, vacante por muerte de D. Francisco Acedo y Torres , á D. Domingo Alonso Rodríguez, Gura párroco de la villa de Camarina, en la misma diócesis: para la Canonjía Cardenalicia de la catedral de Orense, vacante por fallecimiento dé D</t>
  </si>
  <si>
    <t>Acevedo, Domingo</t>
  </si>
  <si>
    <t>Domingo Acevedo</t>
  </si>
  <si>
    <t>7 de diciembre de 1804</t>
  </si>
  <si>
    <t>al Teniente, graduado de Capitán , D. Francisco Wanherek, y á Teniente al Subteniente de granaderos D. Domingo Acevedo. S. M. se ha servido conceder Subtenencias en el Regimiento de infantería de la Corona á los Sargentos primeros D. Tomas Leal, D. Melchor Fernandez y D. Sebastian Pereyra; y á los</t>
  </si>
  <si>
    <t>Acevedocon, Juan</t>
  </si>
  <si>
    <t>Juan Acevedocon</t>
  </si>
  <si>
    <t>Mencionado en un anuncio bibliográfico, artístico o editorial.</t>
  </si>
  <si>
    <t>Libros, estampas y avisos culturales</t>
  </si>
  <si>
    <t>31 de enero de 1804</t>
  </si>
  <si>
    <t>s en el primer sínodo que se celebró en la ciudad y obispado de Valladolid, por el limo, y Rmo. Sr. D. Juan Acevedocon lo constituido y ordenado por el limo. Sr. D. Gregorio de Pedrosa en el sínodo que celebró en 1634: un tomo e.n 4.0 Se hallará en la librería de la viuda de Cerro, calle de Alcalá</t>
  </si>
  <si>
    <t>Acosta, Francisco</t>
  </si>
  <si>
    <t>Francisco Acosta</t>
  </si>
  <si>
    <t>7 de septiembre de 1804</t>
  </si>
  <si>
    <t>e granaderos ai de fusileros D. Gil Josef Pacot: á Tenientes ¿ los Subtenientes D. Manuel Vázquez , Don Francisco Acosta y D. Ramón Castellanos, los dos últimos de granaderos: á Subtenientes de granaderos á los de fusileros D. Francisco Ribera y D. Juan de Castro Palomino; y á Subtenientes de compañía á</t>
  </si>
  <si>
    <t>Adaiúde Yárza, Fernando</t>
  </si>
  <si>
    <t>Fernando Adaiúde Yárza</t>
  </si>
  <si>
    <t>D. Ignacio Empacan, D.. Juan de Cevallos, D. Antonio Gilman,, Cadete de Reales Guardias Walonas, y D. Fernando Adaiúde Yárza-; al seminarista mayor Don Iñigo Ortes de Veíasco , su hermano , el gefe de sala D. Josef Oríes de . Velas&gt;co , los de la misma' clase I). Francisco Barraycua y D, Alonso Al</t>
  </si>
  <si>
    <t>Adalbet-r</t>
  </si>
  <si>
    <t>22 de junio de 1804</t>
  </si>
  <si>
    <t>Supl., p. 1</t>
  </si>
  <si>
    <t>la Nueva Médica Doctrina de Brown á la .cabecera de! enfermo , por medio de la experiencia, por el Dr. Adalbet-r to Federico Marcus , Médico, Director del JiospUalgeneral de JBumberga, y Profesor de Clínica; juntamente con el libro - .* y 3.0 de las Epidemias de Hipócrates, y Demostraciones</t>
  </si>
  <si>
    <t>Adams</t>
  </si>
  <si>
    <t>d acudieron, experimentaron lo mismo; así hombres como mugeres observaron sus vestidos desgarrados. Mr. Adams mudó 3 veces de casaca, y siempre las veia .al instante agujereadas por las faldillas. Una moza de 1 5 años que vive en la casa, no ha conservado propiamente hablando, mas que el</t>
  </si>
  <si>
    <t>Addington</t>
  </si>
  <si>
    <t>7 de febrero de 1804</t>
  </si>
  <si>
    <t>l 23 de Julio, ó se dexó sorprehender, no merecía ciertamente que se le diese otra comisión militar.Mr. Addington responde á Mr. Fox: „ Convenga (dice) en que la situación del reyno merezca toda la atención del gobierno; pero me lisonjeo que el estado de nuestras fuerzas, presentado</t>
  </si>
  <si>
    <t>rden, y todos juntos visitaron á S. M. en aquel dia. El Duque de York tuvo ayer una conferencia con Mr. Addington en . su casa de Dowring-Street. Con motivo de la enfermedad del Rey, el Consejo de Gabinete se ha juntado varias veces en estos últimos dias. El Duque de Glocester asistió al que se</t>
  </si>
  <si>
    <t>27 de abril de 1804</t>
  </si>
  <si>
    <t>ue hizo el Lord King sobre la salud del Reyen los mismos términos ,, de que se sirvió anteriormente Mr. Addington eti la de lós Comunes. La qüestion que puso Lord Ring</t>
  </si>
  <si>
    <t>'1 En la junta de la Cámara,de los Comunes del 2 Mr. Grey, hablando del estado de S. M¡, preguntó á Mr. Addington, si lo que había dicho anteriormente se fundaba en alguna conferencia personal que hubiese tenido con S. M. Mr. Addington'repiicó ,, que no había tenido ninguna conferencia con S.</t>
  </si>
  <si>
    <t>1 de mayo de 1804</t>
  </si>
  <si>
    <t>esde el principio de su indisposición.”—S. M. se paseó ayer un rato en su jardín, y dio audiencia á Mr. Addington. En la junta de la Cámara de los Pares del 5, el Lord Canciller comunicó á S. S. que el dia anterior había tenido la honra de hablar con S. M., á quien había visto también este di</t>
  </si>
  <si>
    <t>18 de mayo de 1804</t>
  </si>
  <si>
    <t>das al parecer de fluido eléctrico. PARLAMENTO IMPERIAL. En la Cámara de los Comunes el 28 de Marzo Mr. Addington pidió una indemnización á favor de los marinos empleados en la expedición á Tolon en 1793, por razón de que quando las tropas inglesas evacuaron aquelta ciudad, fué menester quema</t>
  </si>
  <si>
    <t>Inglaterra las tropas hannoverianas, como también las órdenes dadas sobre este negocio. - El dia 10 Mr. Addington hizo, renuncia de su empleo, la que admitió S. M. : le sucede Mr. Pitt. . El dia 14 á las 3 de la tarde, S. M. tuvo consejo privado, á que asistiéron entre otros Mr. Pitt. Los que</t>
  </si>
  <si>
    <t>rá que abandonar su puesto, y que no hallará mucho apoyo en sus colegas. Las señales de aprecio que Mr. Addington merece á S. M., se consideran como poco favorables al primer Ministro actual. El 24, el Rey fué á almorzar con Mr. Addington á su quinta del parque de Richmond. El Príncipe de Gal</t>
  </si>
  <si>
    <t>ron principalmente en que el proyecto presentado por Mr. Pitt, es casi idéntico al de su predecesor Mr. Addington. Mr. Yorke, antiguo Secretario de la Guerra en el ministerio anterior, critico varias mudanzas que el primer Ministro había hecho al plan antiguo, y aun añadid: ,&gt;Qüe á pesar de q</t>
  </si>
  <si>
    <t>Addington'repiicó</t>
  </si>
  <si>
    <t>ue había dicho anteriormente se fundaba en alguna conferencia personal que hubiese tenido con S. M. Mr. Addington'repiicó ,, que no había tenido ninguna conferencia con S. M. ; pero que lo que había dicho estaba fundado en la autoridad de los cinco médicos.” Viendo pues Mr. Grey que lo expuesto no ba</t>
  </si>
  <si>
    <t>Adeva, Ramón</t>
  </si>
  <si>
    <t>Ramón Adeva</t>
  </si>
  <si>
    <t>Mencionado en una relación militar de individuos, procedencia, parentesco o haberes.</t>
  </si>
  <si>
    <t>Relaciones militares y haberes</t>
  </si>
  <si>
    <t>Supl., p. 3</t>
  </si>
  <si>
    <t>. 141-2'5 Ramón Adeva.................... Navaicarnero................ ‘4I..2Í Luis Cidiel.......................... Codeleclu—............ 141-25 Manuel Carrasco........</t>
  </si>
  <si>
    <t>Adrián Marcos Martínez</t>
  </si>
  <si>
    <t>laza de dicho Consejo Real, vacante por fallecimiento, del Sr. D. Francisco de Acedo Torres, al Sr. D. Adrián Marcos Martínez: para la Regencia de la Audiencia de Cataluña que este dexa á D. Francisco Xavier Olea, y Carrasco: para la que este obtenía de la de Galicia á D.. Josef Pagóla , Oidor de la Chan</t>
  </si>
  <si>
    <t>Adriano Waiker</t>
  </si>
  <si>
    <t>Subteniente al Cadete D. Edmundo Tugener: en el de Courten á Teniente de granaderos al de fusileros D. Adriano Waiker: en el de Traxler á Capitán de granaderos al Capitán segundo D. Antonio Chruten; á Subteniente de granaderos al de fusileros D. Jorge Traxler; y en el de Reding á Teniente al Subt</t>
  </si>
  <si>
    <t>Adriinti</t>
  </si>
  <si>
    <t>Don Juan Olaegui, D. Víctor Vinader, D.,.Vicente de Lago, D. Pedro Landazuri, D. Joaquín de Soroa, D. Adriinti.Morquecho, D. Bartolomé Arguelles, D. Fernando Becerra, D. Rafkl Bovadillo, D. Josef Mendivil, I). Antonio Saavedra, D. Vicente Vallijcel, D. Josef Primo de Ribera,</t>
  </si>
  <si>
    <t>Aedos Bravo, Juan</t>
  </si>
  <si>
    <t>Juan Aedos Bravo</t>
  </si>
  <si>
    <t>29 de junio de 1804</t>
  </si>
  <si>
    <t>gidor de esta villa, á instancia de los síndicos nombrados por los acreedores á la testamentaría de D. Juan Aedos Bravo, se han mandado sacar á pública subasta, por término de 30 dias, varias fincas, correspondientes á la misma, que con distinción de su situación , cabida,y precios en que se han re</t>
  </si>
  <si>
    <t>Afnár, Manuel</t>
  </si>
  <si>
    <t>Manuel Afnár</t>
  </si>
  <si>
    <t>20 de marzo de 1804</t>
  </si>
  <si>
    <t>y de Escribano, calle de las Carretas. En el almacén de papel rayado de música y de todas clases de D. Manuel Afnár , que está frente á la fuente de la puerta del Sol, se halla un surtido de música nueva de piano y órgano, que acaba de llegar de Alemania, de los autores mas distinguidos de Euro</t>
  </si>
  <si>
    <t>Agramunt, Miguel</t>
  </si>
  <si>
    <t>Miguel Agramunt</t>
  </si>
  <si>
    <t>15 de mayo de 1804</t>
  </si>
  <si>
    <t>egial de Sta. Ana de la ciudad de Barcelona, afecta al oficio de Sochantre, vacante por renuncia de D. Miguel Agramunt, á D. Francisco Vidal: para un Beneficio de la parroquia de S. Pedro de las Puellas, de la ciudad de Barcelona, vacante por fallecimiento de D. Francisco Gali, á D. Josef Dejes. E</t>
  </si>
  <si>
    <t>Agu</t>
  </si>
  <si>
    <t>30 de octubre de 1804</t>
  </si>
  <si>
    <t>o de infantería de América Compartías al Teniente de granaderos D. Manuel de Mendoza, y al Ayudante D. Agu.ctin de Alfaraz, ámbos graduados de Capitán: Tenencias i los Subtenientes D. Heraciio Aiaiz y D. Eugenio Delgado; y Subtenencia de bandera al Sargento primero D. Ignacio Solans: y</t>
  </si>
  <si>
    <t>Aguado Pérez y Cura, Luis</t>
  </si>
  <si>
    <t>Luis Aguado Pérez y Cura</t>
  </si>
  <si>
    <t>25 de septiembre de 1804</t>
  </si>
  <si>
    <t>réstamo de Villatoquite, en el obispa4í&gt;;d#'León, vacante por fallecimiento de D. Manuel Torreho, á D. Luis Aguado Perez y Cura párroco, de S. Pedro de aquella ciudad : para ei Beneficio {simple servidero de la parroquia de S. Esteban de la ciudad de ]? j &amp;s en c i a,; vaca n te por muerte de D. Juan Ferna</t>
  </si>
  <si>
    <t>Agudo Olmo, Francisco</t>
  </si>
  <si>
    <t>Francisco Agudo Olmo</t>
  </si>
  <si>
    <t>14 de febrero de 1804</t>
  </si>
  <si>
    <t>ntes dirigirán sus-memoeiáles ai. Ayuntamiento de la villa por: mano-del Procurador síndico de ella D. Francisco Agudo Olmo.. Teatro histórico-cTÍtico: de 1» eloqíiencia españolad 5 tomos err 8.° mayor. Se vende en la librería: de Sancha, calle del Lobo , y en las de Ramos, carrera de San Gerónimo y ca</t>
  </si>
  <si>
    <t>Aguilar y An-v, Francisco</t>
  </si>
  <si>
    <t>Francisco Aguilar y An-v</t>
  </si>
  <si>
    <t>16 de noviembre de 1804</t>
  </si>
  <si>
    <t>102 í Intendencia de Salamanca , en comisión, á D. Francisco Aguilar y An-v chía , Ministro de Capa y Espada del- Cornejo dé Hacienda. En cumplimiento de lo mandado en Real Pragmática-Sanción de 30' de Agosto de 1800desde i‘iP: de Diciembre próximo hasta</t>
  </si>
  <si>
    <t>Aguilar, Antonio</t>
  </si>
  <si>
    <t>Antonio Aguilar</t>
  </si>
  <si>
    <t>21 de febrero de 1804</t>
  </si>
  <si>
    <t>Real cuerpo de Guardias de Corps se ha servido el Rey promover á Cadete de número ai supernumerario Don Antonio Aguilar; y á supernumerario al Guardia D. Vicente Planchen. En el regimiento de caballería del Infante se ha servido el Rey promover á Teniente ai Alférez D. Joaquin Foraster: en el de Bo</t>
  </si>
  <si>
    <t>Aguiriano y Gcmez, Francisco Mateo</t>
  </si>
  <si>
    <t>Francisco Mateo Aguiriano y Gcmez</t>
  </si>
  <si>
    <t>31 de agosto de 1804</t>
  </si>
  <si>
    <t>os ganarían igualmente en la solución atinada de estas dos cuestiones. ESPAÑA. Logroño 2 de Agosto. D. Francisco Mateo Aguiriano y Gcmez, Obispo dé esta diócesis, ha comunicado á su Seminario conciliar, establecido en esta ciudad, la plausible noticia de haber aprobado el Real y supremo Consejo de Castilla las cons</t>
  </si>
  <si>
    <t>Aguirre, Miguel</t>
  </si>
  <si>
    <t>Miguel Aguirre</t>
  </si>
  <si>
    <t>.... *4r-25 Miguel Aguirre.................... Escatron...................... 141..25 Josef Izquierdo.................. . Olmeda de la Zavilla- 141-25 Gabriel Gigante..........</t>
  </si>
  <si>
    <t>Agulló, Manuel</t>
  </si>
  <si>
    <t>Manuel Agulló</t>
  </si>
  <si>
    <t>at: en el de Ordenes Militares á D. Joaquín González de Quevedo: en el de Voluntarios de Castilla á D. Manuel Agulló y D. Ramón Ximenez: en el de Voluntarios de Estado á D. Santiago Fortun, Cadete dei de Jaén; y eivei de Borbon á D. Josef Ferrer y X&gt;. Bartolomé Riera.</t>
  </si>
  <si>
    <t>Ahogado Aioys Studcr</t>
  </si>
  <si>
    <t>11 de mayo de 1804</t>
  </si>
  <si>
    <t>o al otro lado del Albis para juntar gente---- Hoy á medio dia ha sido preso el Ahogado Aioys Studcr, natural de Lucerna, y ex-Capüch$¿no, por haber ,á lo íjue se cree, escrito falsas proclamaciones, impresas luego en Rapperschwill-----Ayer por la noche, así que se supo que los sublevados</t>
  </si>
  <si>
    <t>Ahs</t>
  </si>
  <si>
    <t>20 de julio de 1804</t>
  </si>
  <si>
    <t>rnal of natural philosophy ), con ocasión de hablarse de un experimento galbánico, executado por el Dr. Ahs, compañero de Humboldt; y en una nota añadió*: Ha fallecido de fiebre amarilla en Acapulco.—Pero el tal Dr. Ahs no es conocido en Berlín por compañero de viage, ni por asociado á</t>
  </si>
  <si>
    <t>Aíanuel Guerrero y Sánchez</t>
  </si>
  <si>
    <t>9 de marzo de 1804</t>
  </si>
  <si>
    <t>rzobispado; y para una Media-Ración de la catedral de Cuenca, en el Perú , vacante por promoción de D. Aíanuel Guerrero y Sánchez, á D. Fausto Sodupe , presbítero domiciliario del arzobispado^ de .Santa £e. En el regimiento de infantería de la Corona fixo del. Reyno de Nueva-España, se ha servido S. M. promo</t>
  </si>
  <si>
    <t>Aidecoa, Pedro</t>
  </si>
  <si>
    <t>Pedro Aidecoa</t>
  </si>
  <si>
    <t>13 de marzo de 1804</t>
  </si>
  <si>
    <t>ubtenientes de granaderos D.; Josef Bergaña., D* Mauricio Fornell y D- Josef Villa, al de fusileros D. Pedro Aidecoa y á; D. Hilarión de la Quintanay Teniente del regimiento de infantería-de Voluntarios de Castilla , y á Subtenientes de granaderos á los de fusileros D. Sebastian Pizarro, D. Joaquí</t>
  </si>
  <si>
    <t>Aíiguél Labrador</t>
  </si>
  <si>
    <t>ara otra de ia colegial de Roa, diócesis dé Osrna, vacante por fallecimiento de D. Josef Noreña , á D. Aíiguél Labrador', Racionero de la misma-: para una Ración de la propia colegial, por ascenso de D. Domingo Hor.tigilela á Canongía de la misma, á D. Matías Casado,</t>
  </si>
  <si>
    <t>Ailer, Francisco</t>
  </si>
  <si>
    <t>Francisco Ailer</t>
  </si>
  <si>
    <t>morial del 3\&lt;@&gt;y D.. Faustino Zaragoza*. en el de la Reyna á D. Julián Senesens: en^ld,e Granada á D. Francisco Ailer: en el de Toledo á D. Francisco Gaipcía ¡ en ei de Mallorca á D. Andrés Floren: en el de Irlanda á D. Inocencio!Santobety: en el de Cantabria á D. Francisco Aparicio*, en el de Ip</t>
  </si>
  <si>
    <t>Aivarez, Domingo</t>
  </si>
  <si>
    <t>Domingo Aivarez</t>
  </si>
  <si>
    <t>18 de diciembre de 1804</t>
  </si>
  <si>
    <t>infantería D. Simón Antonio Vicario; y para una Subtenencia de las de Blancos de la misma ciudad á D. Domingo Aivarez, Regidor de la de Caricas. En el Regimiento de infantería de Buenos-Ayres se ha servido el Rey promover á Capitán de granaderos al de fusileros D. Josef Gómez.’: á Capitán de fusi</t>
  </si>
  <si>
    <t>Al, Alonso</t>
  </si>
  <si>
    <t>Alonso Al</t>
  </si>
  <si>
    <t>o , el gefe de sala D. Josef Oríes de . Velas&gt;co , los de la misma' clase I). Francisco Barraycua y D, Alonso Al</t>
  </si>
  <si>
    <t>Alameda, Pedro</t>
  </si>
  <si>
    <t>Pedro Alameda</t>
  </si>
  <si>
    <t>Mencionado en un anuncio particular, económico o judicial.</t>
  </si>
  <si>
    <t>8 de junio de 1804</t>
  </si>
  <si>
    <t>el Ayuntamiento. Los 13 de aetiemorcci ciudad % días antes de la oposición, presentldo^ToTRegldores D. Pedro Alameda y D. Salvador de Morales testimonios auténticcisdé^los Ayuntamientoi^de los conste su buena doctrina y co "s’c°6n;para anlda del viage.=± previniéndose que se les Sratlfi;aIf.c° ciuda</t>
  </si>
  <si>
    <t>Alamo, Tomás</t>
  </si>
  <si>
    <t>Tomás Alamo</t>
  </si>
  <si>
    <t>............ 141-25 Tomas Alamo...................... Toledo............................. 141..25 Rafael Ballesteros.- Sta. Cruz del Retamar. 141-25 Lesmss Alonso.........</t>
  </si>
  <si>
    <t>Alarcon, Antonio</t>
  </si>
  <si>
    <t>Antonio Alarcon</t>
  </si>
  <si>
    <t>1 de junio de 1804</t>
  </si>
  <si>
    <t>imiento de D. Manuel Isidro del Campo, el remate del diamante, brillante de 103^ granos valuado por D. Antonio Alarcon y D. Manuel Ramos del Manzano, tasadores de joyas de S..M., en 677,145, rs. sin baxa ni descuento, al que se ha hecho y admitido postura en la misma cantidad , cuya subasta se ha anun</t>
  </si>
  <si>
    <t>4 de diciembre de 1804</t>
  </si>
  <si>
    <t>ordinario al Ayudante de GuardaAlmacén reformado D. Pedro Rodríguez Moreno, y Sobrestante Pagador á D. Antonio Alarcon. En América. Habiendo tenido el Rey por conveniente restablecer el empleo de Asesor y Auditor de Guerra del Gobierno y Presidencia de la Provincia de Quito, que se había suprimido</t>
  </si>
  <si>
    <t>Alaría Paulowna, Princesa</t>
  </si>
  <si>
    <t>Princesa Alaría Paulowna</t>
  </si>
  <si>
    <t>6 de noviembre de 1804</t>
  </si>
  <si>
    <t>son.los Condes de Zichy, de Festeties y de Brady. Leifsik jo de Setiembre. El magnífico axuar de la Princesa Alaría Paulowna, ahora Duquesa ./ de Wevmar, ha llegado aquí hoy. Viene en 140 carros escoltados por -’it un regimiento. Ademas de los muebles y efectos preciosos que contiene, ^ • se' dice que t</t>
  </si>
  <si>
    <t>Alartinez, Agustín</t>
  </si>
  <si>
    <t>Agustín Alartinez</t>
  </si>
  <si>
    <t>21 de agosto de 1804</t>
  </si>
  <si>
    <t>nidad de Tesorero de la catedral dé Tarazonay vacante por fáfíectmíento de -D. Jp'^quin Azpuro; y á D. Agustín Alartinez.,Cabeza ,&lt;!&amp; Vaca. la Abadía de Santa.</t>
  </si>
  <si>
    <t>Alateo Martínez</t>
  </si>
  <si>
    <t>e Corregidor de esta villa, se cita, llama y emplaza á todos los acreedoresr de Alateo Martínez, vecino que fué de esta corte, y tratante en tocino en ella, para que en el término de 30 dias, contados desde el 21 de Agosto, comparezcan ante dicho Sr. Teniente, por la escribanía del</t>
  </si>
  <si>
    <t>Alb, Duque</t>
  </si>
  <si>
    <t>Duque Alb</t>
  </si>
  <si>
    <t>13 de enero de 1804</t>
  </si>
  <si>
    <t>Archiduque Fernando ha tenido órden de marchar á Liiitz, reemplazándolo en Viena el regimiento del Duque Alb.er</t>
  </si>
  <si>
    <t>Albani, Cardenal</t>
  </si>
  <si>
    <t>Cardenal Albani</t>
  </si>
  <si>
    <t>28 de febrero de 1804</t>
  </si>
  <si>
    <t>la regeneración de la República, debida al gobierno francés. Roma £ de Enero. Por fallecimiento del Cardenal Albani, ha resultado vacante la plaza de uno de ios protectores de la Academia teológica; y S. S. se ha dignado conferirla al Cardenal Borgia. FRANCIA. 'Draguignan 20 de Enero. El Prefec</t>
  </si>
  <si>
    <t>Álbani, Cardenal</t>
  </si>
  <si>
    <t>Cardenal Álbani</t>
  </si>
  <si>
    <t>30 de marzo de 1804</t>
  </si>
  <si>
    <t>cmo. Sr. D. Antonio Despuig y iDámeto ¿ como proíectófc de la orden, nombrado por fallecimiento del Cardenal Álbani. IJa^aceptado S. Erna, con mucha satisfacción esté encargó , itnayófmenté ! habiendo tenido su ilustre familia en 1736 el honor de dar á la orden un Gran Maestre en la persona de</t>
  </si>
  <si>
    <t>Albareda, Ignacio</t>
  </si>
  <si>
    <t>Ignacio Albareda</t>
  </si>
  <si>
    <t>26 de octubre de 1804</t>
  </si>
  <si>
    <t>ado á su favor por D. Jc^tf Pablos Salas ó Salan, y el D. Santiago Albareda^. le endosó y remitió á D. Ignacio Albareda, á Logroño; y habiéndose extraviado,' la persona en cuyo poder esté, lo entregará en León a dicho Salas, en Viq-s d Albareda, en Vailadoiid á D. Mateo Martin, del comercio, y en M</t>
  </si>
  <si>
    <t>Albareda, Santiago</t>
  </si>
  <si>
    <t>Santiago Albareda</t>
  </si>
  <si>
    <t>949 D. Santiago Albareda, del comercio de Vique, remitió desde León á Logroño, por el correo del 9 al 1 2 de Julio de este año, un vale Real de 300 pesos, numero 87,261 , con rebaxa de intereses, por no h</t>
  </si>
  <si>
    <t>Albarrilla, Diego</t>
  </si>
  <si>
    <t>Diego Albarrilla</t>
  </si>
  <si>
    <t>4 de septiembre de 1804</t>
  </si>
  <si>
    <t>primer monasterio de rel'giosas de la Visitación de Ntra. Sra. de Madrid, vacante por jubilación de D. Diego Albarrilla, á D. Ramón Soler; y para la Presramera de la villa de Albacete, vacante por.promocion de D. Felipe Ventura González al Deanato déla de Córdoba, á D. Juan Garusiani. En el regimie</t>
  </si>
  <si>
    <t>Alberdí, Andrés</t>
  </si>
  <si>
    <t>Andrés Alberdí</t>
  </si>
  <si>
    <t>20 de enero de 1804</t>
  </si>
  <si>
    <t>is Perez de Ribera. ; S. M. ha nombrado Maestro Armero examinador de la Real fábrica de Placencia á D. Andrés Alberdí; y Armero de artiLLería de la plaza de Jaca á Domingo Sala. En América. El Rey se ha servido nombrar para la primera de las dos Medias-Raciones nuevamente erigidas en da catedral</t>
  </si>
  <si>
    <t>Alberto, Duque</t>
  </si>
  <si>
    <t>Duque Alberto</t>
  </si>
  <si>
    <t>asará por Josephstadt para ir al campamento de Praga: después irá á tomar las aguas de Carlsbad. Ei Duque Alberto visitará en este intervalo al Elector de Saxonia, y luego se encaminará á Salzburgo , después de haber recorrido con SS. MM. las fronteras de Bohemia. El Ministro de Gabinete Cond</t>
  </si>
  <si>
    <t>Albini</t>
  </si>
  <si>
    <t>2 de octubre de 1804</t>
  </si>
  <si>
    <t>a Germánica, cuyas juntas quedan suspensas hasta el n de Noviembre, ha recibido una comunicación de Mr. Albini, Ministro directorial, en que dice que la notificación hecha por los Ministros Imperiales, no era de naturaleza que diese motivo á una deliberación comicial (á pesar de la nota Su</t>
  </si>
  <si>
    <t>Albornoz, Juan</t>
  </si>
  <si>
    <t>Juan Albornoz</t>
  </si>
  <si>
    <t>Felipe Ibargiien, D. Francisco Solís, D. Josef Pasalagua, D. Diego de Aguirre, D. Vicente Climent, D. Juan Albornoz, D. Joaquin de Toledo, D. Joaquin Leones, D. Julián Leones, D. Pedro Rato Cisneros, D. Justo Salafranca, D. Baltasar Cornelias, D. Josef Rodríguez Truxillo, D. Josef Pereyra, D. S</t>
  </si>
  <si>
    <t>Alcalá Galiano, Antonio Andrés</t>
  </si>
  <si>
    <t>Antonio Andrés Alcalá Galiano</t>
  </si>
  <si>
    <t>17 de febrero de 1804</t>
  </si>
  <si>
    <t>e ha servido S. M. promover á Capitán de granaderos del de Ecija al de fusileros del de Ciudad-Real Don Antonio Andrés Alcalá Galiano : á Capitanes de fusileros de los de Sigiiénza y Chinchilla á los Tenientes de granaderos D. Josef María de Ariza y D. Bartolomé de Moya, y al Capitán agregado D. Juan Carrascosa:</t>
  </si>
  <si>
    <t>Alcalá Galiano, Dionisio</t>
  </si>
  <si>
    <t>Dionisio Alcalá Galiano</t>
  </si>
  <si>
    <t>Mencionado en un suplemento de la Gazeta.</t>
  </si>
  <si>
    <t>Suplementos</t>
  </si>
  <si>
    <t>19 de junio de 1804</t>
  </si>
  <si>
    <t>Supl., p. 9</t>
  </si>
  <si>
    <t>regular............. J2. 46. -Memoria sobre las observaciones de latitud y longitud en el mar, por D. Dionisio Alcalá Galiano , Brigadier de la Real Armada....... .................... ................... . 8. 7» Memoria sobre el uso del termómetro en la navegación, por Jonatas Williams , tradu** cida del</t>
  </si>
  <si>
    <t>Alcalá y Sánchez, Manuel Esteban</t>
  </si>
  <si>
    <t>Manuel Esteban Alcalá y Sánchez</t>
  </si>
  <si>
    <t>ar para una Canongía de la catedral de Sigüenza , vacante por fallecimiento de D. Josef Castillo, á D. Manuel Esteban Alcalá y Sánchez , Cura Rector del lugar de Novallas, diócesis de T.arazona: para otra de ia colegial de Roa, diócesis dé Osrna, vacante por fallecimiento de D. Josef Noreña , á D. Aíiguél Labrado</t>
  </si>
  <si>
    <t>Alcántara de Quirós, Pedro</t>
  </si>
  <si>
    <t>Pedro Alcántara de Quirós</t>
  </si>
  <si>
    <t>13 de abril de 1804</t>
  </si>
  <si>
    <t>tos provinciales ha promovido S. M. á Capitán de granaderos en el de Ciudad-Rodrigo al de fusileros D. Pedro Alcántara de Quirós: á Capitán de fusileros en el de Granada á D. Josef Guillen, Teniente del mismo cuerpo: á Tenientes' de granaderos en los dé Sigiienza y Chinchilla á los de fusileros D. Guillermo</t>
  </si>
  <si>
    <t>Alcaraz, María</t>
  </si>
  <si>
    <t>María Alcaraz</t>
  </si>
  <si>
    <t>. i Sarrio..... .......... 2 D. Rafael Álcaraz............ . 1 D. Pedro Tomas.................... 1 Doña María Alcaraz................ * Margarita González....................... 1 Rosa Izquierdo................ .......... * María Coder.................................. . I María Minuera..........</t>
  </si>
  <si>
    <t>Álcaraz, Rafael</t>
  </si>
  <si>
    <t>Rafael Álcaraz</t>
  </si>
  <si>
    <t>ivo del excesivo número de enfermos. El Dr. D. Josef Alearaz............ i Sarrio..... .......... 2 D. Rafael Álcaraz............ . 1 D. Pedro Tomas.................... 1 Doña María Alcaraz................ * Margarita González....................... 1 Rosa Izquierdo................ .......... * M</t>
  </si>
  <si>
    <t>Alcázar, Manuel</t>
  </si>
  <si>
    <t>Manuel Alcázar</t>
  </si>
  <si>
    <t>n: Tenencia en el de España á D. Tomas Amaya ; y empleo de Alférez en el del Rey al Portaestandarte D. Manuel Alcázar. En los de caballería iigera se ha servido igualmente S. M. promover á Ayu dante en el de cazadores de Pavía al Teniente D. Lino Urbina; y á Alíérez del de húsares de Lusitania al</t>
  </si>
  <si>
    <t>Alcor, Sebastián</t>
  </si>
  <si>
    <t>Sebastián Alcor</t>
  </si>
  <si>
    <t>Supl., p. 2</t>
  </si>
  <si>
    <t>.......... 141..2 5 Sebastian Alcor.................... Barrios............................ 141..15 Mateo Miilan..................... leves.......................... . 141..25</t>
  </si>
  <si>
    <t>Aldao y Castro, Vicente</t>
  </si>
  <si>
    <t>Vicente Aldao y Castro</t>
  </si>
  <si>
    <t>glorioso Apóstol Santiago, patrón de España, del dia 25 de Julio y 3 de Agosto de 1801 pronunciaron D. Vicente Aldao y Castro y D. Josef Aidao y Castro &amp;c. dedicadas á la Reyna nuestra Señora por D. Josef de Valluguera y Nuíía. Se hallarán en el despacho de la imprenta Real: su precio 5 rs. en rústica. Vida</t>
  </si>
  <si>
    <t>Aleado, Antonio Luis</t>
  </si>
  <si>
    <t>Antonio Luis Aleado</t>
  </si>
  <si>
    <t>D. Ramón de Ayala, de granaderos, y D. Miguel Valdés; de Subteniente de granaderos al de fusileros D. Antonio Luis Aleado; de Subteniente de compañía á D. Manuel Muñoz, agregado en esta clase al expresado batallón, y de Subtenientes de bandera al Sargento D. Juan Josef López, y al Cadete D. Josef de</t>
  </si>
  <si>
    <t>de granaderos al de fusileros D. Juan Pujol; á Teniente'-de fusileros al ¿obteniente de granaderos D. Antonio Luis Aleado; á Subteniente de granaderos ai de fusileros D. Juan Miguel Romana, y á Subteniente de bandera al Cadete D. Francisco Roa. Asimismo ha concedido el Rey la Tenencia Coronela del re</t>
  </si>
  <si>
    <t>AlexanÓro, Barón</t>
  </si>
  <si>
    <t>Barón AlexanÓro</t>
  </si>
  <si>
    <t>as Españolas.__ En la misma audiencia el Marques de Luchesini, Ministro de Prusia, ha presentado al Barón AlexanÓro dTIumboldt, de la Academia de Berlín. ESPAÑA. Madrid 2 o de Noviembre. Ayer se vistió la Corte de gala en el Real Sitio de S. Lorenzo en celebridad de los dias de la Señora Infant</t>
  </si>
  <si>
    <t>Alexcr Accves</t>
  </si>
  <si>
    <t>3 de febrero de 1804</t>
  </si>
  <si>
    <t>l lugar de Villarmeró, en eí arzobispado de Burgos * vacante por muerte de D. Diodoro Salamanca , á D. Alexcr Accves: para el Beneficio simple de la parroquial de Villafer, en la Vicaría de S. Millan, en la diócesis de Oviedo, por fallecimiento de D. Josef Roxas , á D. Francisco de Riglos y Vent</t>
  </si>
  <si>
    <t>Alfaro y Franchy, Domingo</t>
  </si>
  <si>
    <t>Domingo Alfaro y Franchy</t>
  </si>
  <si>
    <t>10 de enero de 1804</t>
  </si>
  <si>
    <t>a servido nombrar para la Dignidad de Prior de la catedral de Canaria, vacante por fallecimiento de D. Domingo Alfaro y Franchy, á D. Antonio Jacinto Ruiz Martínez, Racionero de la misma: para la de Arcediano de Alcántara de la catedral de Coria, vacante por promoción de D. Juan Félix Gironda y Blanco á Ca</t>
  </si>
  <si>
    <t>Alfonso</t>
  </si>
  <si>
    <t>cia , y se señalan las causas y el progreso de sus adelantamientos, vicisitudes y decadencia, desde Don Alfonso el Sabio hasta Felipe r. En el compendio de la vida de cada autor se hace un juicio filosófico y retórico de su estilo y dicción , para común enseñanza é instrucción así; de los ext</t>
  </si>
  <si>
    <t>regimientos provinciales ha ascenqido S.:M. a^Capitanes de los de Si-ienza y Laredo á los Tenientes D. Alfonso dei Bado y D. ctntonio ffamon de la Guerra : á-Teniente de granaderos del de Cmaad-Real ai de fusileros D. Francisco Medranoi a Teniente- de tusileros dri mismo cuerpo al Subteniente</t>
  </si>
  <si>
    <t>Alfonso Aguado Xarava</t>
  </si>
  <si>
    <t>30 de noviembre de 1804</t>
  </si>
  <si>
    <t>ava, Dignidad de la Sta. Iglesia de Toledo, vacante por fallecimiento de Don Sebastian de Gorvea, á D. Alfonso Aguado Xarava , Obispo de Ara gustópoli, Auxiliar de aquel Arzobispado, Canónigo y Dignidad de Capellán mayor de dicha Iglesia*, para una Canongía de la Catedral de Zamora, vacante por promoció</t>
  </si>
  <si>
    <t>Alfonso de Furundarena</t>
  </si>
  <si>
    <t>ncisco Perez María Ana Santa............................. 1 Dos criados de Doña Francisca 45 Total. Don Alfonso de Furundarena, Teniente Coronel del Real Cuerpo de Artillería, y Comandante de ella en esta plaza , .certifico :je con motivo de asistir diariamente por comisión y vocal de la Sanidad á la visi</t>
  </si>
  <si>
    <t>Alfonso de Ibarra</t>
  </si>
  <si>
    <t>Oficiales según el orden de su antigüedad, y en nombrar para la última plaza que resulta vacante á D. Alfonso de Ibarra. JEÍ dia 29 de Diciembre próximo pasado celebró el primer examen de gramática castellana y latina el profesor D. Luis de Mata Araujo en su casa calle del Caballero de Gracia, num.</t>
  </si>
  <si>
    <t>Alfonso de Ligorio</t>
  </si>
  <si>
    <t>icularmente para acompañar á su divina Magestad reservado en los santos Sagrarios: por el limo. Sr. Don Alfonso de Ligorio : un tomo en 8.° de letra gorda. Se hallará en el almacén de papel, calle de Jas Carretas , y de Montero, calle de la Concepción. Pláticas doctrinales, ó explicación de toda la do</t>
  </si>
  <si>
    <t>Alfonso Duran</t>
  </si>
  <si>
    <t>13 de julio de 1804</t>
  </si>
  <si>
    <t>exerce D. Pedro Valladares. Quien quisiere hacer postura acuda ante el Sr. Alcalde de casa y corte D. Alfonso Duran, y por dicha escribanía. En cumplimiento de lo pactado en la escritura, celebrada entre la compañía restablecida de la Buena Fe y sus acreedores, oon fecha de 30 de Abril de i8or,</t>
  </si>
  <si>
    <t>Alfonso Duran y Barazabal</t>
  </si>
  <si>
    <t>17 de abril de 1804</t>
  </si>
  <si>
    <t>de 1803 , está mandado por providencias del Sr. Alcalde de la Real casa y corte que conoce de ella, D. Alfonso Duran y Barazabal, se proceda al repartimiento de las cantidades existentes, con arreglo al estado formado por los comisionados nombrados, en el término de dos meses: en su conseqiiencia, se anunci</t>
  </si>
  <si>
    <t>rabanchel de abaxo, perteneciente al mayorazgo de Orozco, acuda ante ei Sr. Alcalde de casa y corte D. Alfonso Duran y Barazabal, y escribanía de provincia de D. Pedro Valladares , donde se manifestará la certificación que ha dado de las mismas obras y su coste el arquitecto D. Josef Tellez, que las ha reco</t>
  </si>
  <si>
    <t>Alfonso Gallego y Pérez</t>
  </si>
  <si>
    <t>os de Badajoz, Valladolid, Sigüenza, Lorca y Ronda á D. Luis Sánchez Diosdado , D. Vicente Moneada, D. Alfonso Gallego y Perez, D. Josef Morales y Galera y D. Josef Luis Noguera y.Mendez* „ Para el Gobierno del fuerte de Torremolinos ha nombrado el Rey al Capitán D. Josef Bravo, Teniente del Regimiento de</t>
  </si>
  <si>
    <t>Alfonso Gasque</t>
  </si>
  <si>
    <t>28 de agosto de 1804</t>
  </si>
  <si>
    <t>s y Gómez Cardeña, en ei arzobispado de Sevilla, vacante por muerte de D. Tomas Antonio del Tejo, á D. Alfonso Gasque; y para el Beneficio de la villa de Villalar, en el obispado de Zamora* vacante por fallecimiento de D. Josef Rodríguez del Castillo, á D. Andrés Diez y Muñoz, con carga de reside</t>
  </si>
  <si>
    <t>Alfonso Pignatelli</t>
  </si>
  <si>
    <t>Capitán de dragones del Peni, D. Manuel-de las Heras, del Cornejo de S. M. en el Supremo de Indias, D. Alfonso Pignatelli, Coronel de 'húsares, y el Caballero Montalvo. En el Monitor se ha publicado un informe del Procurador general Imperial, en que da cuenta de la corre1 .poncencia de los dos herman</t>
  </si>
  <si>
    <t>Algarin, Pedro</t>
  </si>
  <si>
    <t>Pedro Algarin</t>
  </si>
  <si>
    <t>17 de agosto de 1804</t>
  </si>
  <si>
    <t>74° de Ronda al Teniente D. Pedro Algarin: á Teniente de granaderos del de Badajoz al de fusileros D. Vicente Berriz: á Tenientes de fusileros de los de Sígiienza, Ciudad-Rodrigo, Granada y Cuenca á los Subtenientes D. Fe</t>
  </si>
  <si>
    <t>Aliaga, Bernardo</t>
  </si>
  <si>
    <t>Bernardo Aliaga</t>
  </si>
  <si>
    <t>o Fernandez; a Cadete de número al supernumerario D. Francisco Geria, y á supernumerario al Guardia Don Bernardo Aliaga. ‘ ;iíí1' -'„ El Rey-seliaéérvidb conferir Compañía en él regimiento de infantería de Valencia-ai Ayudante del Provincial de Eci¡a, graduado de Capitán, Di-Julián Alvavez; y Tenen</t>
  </si>
  <si>
    <t>Guardias de Corps se ha servido el Rey promover en la primera á Cadete de número al Supernumerario D. Bernardo Aliaga, y á Supernumerario al Guardia D. Francisco Carrero; y en la segunda á Cadete de número a! Supernumerario D. Josef de la Huerta, y á Supernumerario al Guardia D. Josef Olea. En la</t>
  </si>
  <si>
    <t>Alibert</t>
  </si>
  <si>
    <t>23 de noviembre de 1804</t>
  </si>
  <si>
    <t>iteratura y artes, núm. 11 , qqp contiene los artículos siguientes: la noticia de una obra nueva de Mr. Alibert; la descripción de unas antiguas minas situadas al pie de los Pirineos, en la provincia de Guipúzcoa; el descubrimiento dei aguardiente de algarrobo; la continuación de las reflex</t>
  </si>
  <si>
    <t>Allende, Domingo</t>
  </si>
  <si>
    <t>Domingo Allende</t>
  </si>
  <si>
    <t>anda, D.. Francisco Díaz Melendez, D. Josef Aramburu, ¿.Francisco Echezarreta, D. Pablo Bustamante, D. Domingo Allende, D. Antonio Valcárcel, D. Antonio Díaz de Córdoba , D. Salvador Clavijo, D. Josef Julián, D. Francisco Topete, D. Manuel del Castillo, D. Vicente María Saavedra, D. Miguel Montema</t>
  </si>
  <si>
    <t>Almoldis</t>
  </si>
  <si>
    <t>e los usages ó usáticos, nuevo código de leyes que el Conde D. Ramón Berenguer el viejo, y su muger Doña Almoldis promulgaron en 1068 para uso délos catalanes. Con esto habrá completado su plan en lo perteneciente á las leyes de los Reyes cristianos; pero .¿olvidará Ja vasta y poderosa monarq</t>
  </si>
  <si>
    <t>Almonacid, Francisco Xavier</t>
  </si>
  <si>
    <t>Francisco Xavier Almonacid</t>
  </si>
  <si>
    <t>ispo de Ciudad-Rodrigo; asistentes los limos. Sres. D., Antonio Tavira, Obispo de aquella ciudad, y D. Francisco Xavier Almonacid , Obispo de Falencia; y padrino la Real y Pontificia Universidad^ Asistiendo todos los individuos de ella revestidos con sus insignias, como también los títulos de Castilla y pers</t>
  </si>
  <si>
    <t>Alonso-Yolíf</t>
  </si>
  <si>
    <t>6 de marzo de 1804</t>
  </si>
  <si>
    <t>de 25 de Enero próximo pasado se cita, llama y emplaza; tercera vez á los he» rederos de I&gt;. Luis y D. Alonso-Yolíf, que estuvieron: establecidos en la ciudad de Cádiz, con casa y compañía de comercio , para que en el térraino de un mes, que se les señala por último y perentorio á los existente</t>
  </si>
  <si>
    <t>Aloy, Miguel</t>
  </si>
  <si>
    <t>Miguel Aloy</t>
  </si>
  <si>
    <t>3 de enero de 1804</t>
  </si>
  <si>
    <t>bteniente de granaderos D. Carlos Porta, y Subtenencia-de bandera al Sargento primero de granaderos D. Miguel Aloy; y en el de-Extremadura Ayudantía al Teniente, graduado de Capitán, D. Antonio Leglisa, y Tenencia al Subteniente de granaderos D. Tomas Rodríguez. El Rey ha nombrado Conductor de</t>
  </si>
  <si>
    <t>Aloysio Jutz</t>
  </si>
  <si>
    <t>empleo de Ayudante al Teniente D. Antonio Stéeger; y Subtenencias á los Cafdetes D. Carlos Gretuer, D. Aloysio Jutz y D. Baltasar Nuderist. El Rey se ha dignado conceder honores de Ministro del Tribunal de la Contaduría mayor de Cuentas á D. Manuel Manso, Administrador general de Rentas del Reyno d</t>
  </si>
  <si>
    <t>Alprtso Caballero, Juan Francisco</t>
  </si>
  <si>
    <t>Juan Francisco Alprtso Caballero</t>
  </si>
  <si>
    <t>9 de octubre de 1804</t>
  </si>
  <si>
    <t>la isla ,4e la Margarita , jurisdicción de la Audiencia de Caracas, se ha servido el R¿y nombrar á D. Juan Francisco Alprtso Caballero, Abogado de sus Re,ales Consejos. El Excmo. Sr, D. Pedro Gevaltos , primar Secretario de Estado y del Despacho, como Superintendente de los Reales Sitios, ha comunicado, con fecha</t>
  </si>
  <si>
    <t>Alpuente, Francisco</t>
  </si>
  <si>
    <t>Francisco Alpuente</t>
  </si>
  <si>
    <t>ral de Albarracin , vacante por promoción de D. Manuel María Espinosa d otra de la de Cartagena , á D. Francisco Alpuente , Cura párroco dé la Mina del Collado de la Plata: para una Ración de la catedral de Canaria, vacante por promoción de D. Juan Navarro á la Canóngía Magistral de ella , á D. V ice</t>
  </si>
  <si>
    <t>Altamirano, Carlos</t>
  </si>
  <si>
    <t>Carlos Altamirano</t>
  </si>
  <si>
    <t>10 de agosto de 1804</t>
  </si>
  <si>
    <t>breve discurso del mismo autor que el anterior, que pronunció el caballero Seminarista su discípulo D. Cárlos Altamirano con. suma gracia, con alusión á los premios que él y sus compañeros iban á recibir: respondió S. E. con otro en que ponderó con la mayor oportunidad y sencillez la importancia de</t>
  </si>
  <si>
    <t>ión grande de la Academia, 4 tomos en folio. 2.0: D. Josef Cacho: Virgilio cum notis variorum. 2.0: D. Carlos Altamirano: Terencio cum notis variorum. —, Astronomía y Cronología. i.° D. Juan de Salazar: Vayliy, Astronomía, tomos en 4.0 mayor. 2.0: D. Josef Gil: Lalande, Compendio de Astronomía___ Ge</t>
  </si>
  <si>
    <t>Álvarez Acevedo, Juan</t>
  </si>
  <si>
    <t>Juan Álvarez Acevedo</t>
  </si>
  <si>
    <t>s en 4.0 Accessit: D. Manuel Perero: Verdejo, Elementos de matemáticas___ Física experimental. i.°: D. Juan Alvarez Acevedo: Muschembroek, Curso de física, 3 tomos en 4.0 mayor. 2.0: D. Serapio de la Hormaza: Brison, Elementos de física, 4 tomos en 4.0__ Lógica y Metafísica. i.°: D. Juan Alvarez Aceved</t>
  </si>
  <si>
    <t>Alvaréz Becerra, Pedro</t>
  </si>
  <si>
    <t>Pedro Alvaréz Becerra</t>
  </si>
  <si>
    <t>se ha dignado nombra* para una Canongíá de la Colegial dé la Cortina, vacante por fallecimiento dé D. Pedro Alvaréz Becerra, i f&gt;. Miguel Blazqáéz Toval ♦ para el Beneficio de S. Millan de Yecorá , eti él Arzobispado de Burgos, vacante por muerte de D. Vicente Alonso, á B. Joaquín Boltri: para ía; quar</t>
  </si>
  <si>
    <t>Álvarez de Faria, Juan Manuel</t>
  </si>
  <si>
    <t>Juan Manuel Álvarez de Faria</t>
  </si>
  <si>
    <t>14 de agosto de 1804</t>
  </si>
  <si>
    <t>ndia á 891; ademas han sido vacunados por el Arcediano de la Sta. Iglesia de esta ciudad de Badajoz D. Juan Manuel Alvarez de Faria, por el médico de la misma D. Casiano Caballero, y por el cirujano del regimiento de infantería de Aragón Don Juan de Cardemon mas de 300 criaturas._En este grande número de vacun</t>
  </si>
  <si>
    <t>Álvarez de Morí, Manuel</t>
  </si>
  <si>
    <t>Manuel Álvarez de Morí</t>
  </si>
  <si>
    <t>Alonso de Cano, que existe en la capilla del Smo. Cristo de S. Gines de ' esta corte , grabada por D. Manuel Alvarez de Morí, obra premiada por Ja Real ' Academia de S. Fernando en concurso general, celebrado en Julio de 1802.'Se ven-'”de en las librerías de Escribano, calle de las Carretas, y de Claros</t>
  </si>
  <si>
    <t>Álvarez de Quinóos y Baena, Juan Antonio</t>
  </si>
  <si>
    <t>Juan Antonio Álvarez de Quinóos y Baena</t>
  </si>
  <si>
    <t>■" ■' ■" 1 1 1 11 ■ ' ■■ ■ ' ■ ■ — I Descripción histórica del Real bosque y casa de Aranjuez, por D. Juan Antonio Alvarez de Quinóos y Baena, criado de S. M.: un tomo en 4.0, á gó rs. en pasta, y 30 en ruslDa. Esta obra, escrita con crítica y sencillez, da á conocer el principio y progresos de aquel Real sitio hasta ei</t>
  </si>
  <si>
    <t>Álvarez de Sotomayor, Juan</t>
  </si>
  <si>
    <t>Juan Álvarez de Sotomayor</t>
  </si>
  <si>
    <t>2 de marzo de 1804</t>
  </si>
  <si>
    <t>den de Santiago: para la del Gobierno de la villa de Marios, territorio de la orden de Calatrava, á D. Juan Alvarez de Sotomayor; y para la de Ceclavin, en la orden de Alcántara, á D. Lucas de la Gala, todas de primera clase ó entrada. JEn América. El Rey se ha servido nombrar para la Canongía Magistral de</t>
  </si>
  <si>
    <t>Álvarez de Toledo, Fernando</t>
  </si>
  <si>
    <t>Fernando Álvarez de Toledo</t>
  </si>
  <si>
    <t>án General, y cómo se ha de sacar experiencia y fruto. 8.° Otro sobre que Anibal y el Duque de Alba D. Fernando Alvarez de Toledo no fuéron Capitanes de tanta crueldad como lo dice la fama, y que lo que hicieron fue según lo exigía la necesidad de la guerra. 9.0 Otro sobre que los grandes Capitanes, por dife</t>
  </si>
  <si>
    <t>Álvarez Guerra, Juan</t>
  </si>
  <si>
    <t>Juan Álvarez Guerra</t>
  </si>
  <si>
    <t>ncés j?or una Sociedad de ¿Agrónomos, ordenado j&gt;or el Abate Rozier, y traducido al castellano y&gt;or D. Juan Alvarez Guerra, individuo de mérito, en la clase de Agricultura, de la Real Sociedad económica de Madrid. Diez y seis tomos en 4™ con 14 o láminas de animales, plantas, frutas , utensilios, máqu</t>
  </si>
  <si>
    <t>Álvarez Ordoño, Vicente</t>
  </si>
  <si>
    <t>Vicente Álvarez Ordoño</t>
  </si>
  <si>
    <t>16 de marzo de 1804</t>
  </si>
  <si>
    <t>án segundo del mismo cuerpo ; y Tenencia en el de infantería de Aragón al Subteniente de granaderos D. Vicente Alvarez Ordoño. S. M. se ha dignado nombrar Comisario de guerra del exército y del departamento de artillería de Segovia al Comisario de artillería, honorario de guerra, D. Ramón González Eiris.</t>
  </si>
  <si>
    <t>Álvarez Preto, Francisco</t>
  </si>
  <si>
    <t>Francisco Álvarez Preto</t>
  </si>
  <si>
    <t>división, ha sido nombrado Consejero de Estado,. ESPAÑA. OUvencia io de Abril. El Capitán retirado D. Francisco Alvarez Preto, Hermano mayor de esta santa y Real casa de Misericordia, por un efecto de recomendable emulación, en vista de Iqs felices progresos que en la ciudad de Badajoz, capital de la pro</t>
  </si>
  <si>
    <t>Álvarez'Pd, Juan</t>
  </si>
  <si>
    <t>Juan Álvarez'Pd</t>
  </si>
  <si>
    <t>erbas Reales fesohiciones qtie^ no pudiérbó'CoHip/éliéhdér lós antiguos comentadores: compuesta par D. Juan Alvarez'Pd^ sádiílá , del Consejo de S.’ M., Fiscal del crimen de la Real Audiencia' de Valencia: segunda impresión. Se hallará én la librería dé la viuda de Ibarrá; en Valladolid én la de S</t>
  </si>
  <si>
    <t>Álvarez, Ambrosio</t>
  </si>
  <si>
    <t>Ambrosio Álvarez</t>
  </si>
  <si>
    <t>Josef Peirot y D. Fernando Bermudez los s extraordinarios , que han costeado el Marques de Beniel y D. Ambrosio Alvarez, habiendo merecido los mayores elogios por su aplicación y ze|p el Maes~ tro y Director 0. Vicente Suarez y Ordoñez. . ; Madrid, so deK Agosto. El Rey se ha servido conferir en el</t>
  </si>
  <si>
    <t>Alvaréz, Antonio</t>
  </si>
  <si>
    <t>Antonio Alvaréz</t>
  </si>
  <si>
    <t>929 Ignacio de Rueda y D. Antonio Alvaréz, Sargentos primeros veteranos de granaderos de sus respectivos cuerpos. La corbeta correo de la Real Armada , nombrada la Mosca, dio vela de los puertos de Veracruz y la Havana en</t>
  </si>
  <si>
    <t>Álvarez, Blas</t>
  </si>
  <si>
    <t>Blas Álvarez</t>
  </si>
  <si>
    <t>e , graduado de Capitán, D. Agustín Vaquer: Tenencia en el de Hibernia ai Subteniente de granaderos D. Blas Alvarez; y Subtenencias de bandera en los de la Rey na y Navarra á líos Cadetes: D. Antonio Tovar , y D. Francisco-Andrés. En las Compañías fixas veteranas de Artillería de Canarias se ha</t>
  </si>
  <si>
    <t>Álvarez, Félix</t>
  </si>
  <si>
    <t>Félix Álvarez</t>
  </si>
  <si>
    <t>.......... 141. •2S Félix Alvarez......................... Escalona............... Ni Pedro Toledo....................... Los barrios...................... 141. 25 Francisco Perez............</t>
  </si>
  <si>
    <t>Alvaro Ramón de Leí</t>
  </si>
  <si>
    <t>nito Rubio Bocanegra y á D. Alvaro Ramón de Leí jas Ribsdeneyra. Debiendo salir para el dia 20 de Setiembre próximo la fragata de la Real compañía de Filipinas, nombrada S. Fernando, alias el Príncipe de Asturias, desde el puer</t>
  </si>
  <si>
    <t>Alvaro'Rodríguez de Cela</t>
  </si>
  <si>
    <t>12 de junio de 1804</t>
  </si>
  <si>
    <t>es, En Ia. fecha. D. Mateo.Albornoz y Calafat, D. Joaquín Talón y Jalón , D. Gabriel Pazos y Mella, D. Alvaro'Rodríguez de Cela, Di Joaquín Bocalan y Vázquez , D. Juan (üródóy y Castró1; D.áNicolastdel Rio Nogúerido, D. Tomas Cisca r y Orióla y D. Sébastiáiír:Bufler y Henriquez, D. Francisco Ris.tori y Med</t>
  </si>
  <si>
    <t>Alyarez, Manuel</t>
  </si>
  <si>
    <t>Manuel Alyarez</t>
  </si>
  <si>
    <t>ncisco de la Lastra, D. Felipe Saavedra, D. Josef Melgares, D.. Alonso Ramírez , D. Antonio Osorio, D. Manuel Alyarez, D. Bartolomé Pita Daveyga, D. Luis de los Ríos, D. Francisco Calvo, D. Luis Perez del Camino, D. Gonzalo Gómez, D. Antonio Quintano, D. Josef Montaibo, D. Pedro García, Don j» an</t>
  </si>
  <si>
    <t>Alyon</t>
  </si>
  <si>
    <t>5 de octubre de 1804</t>
  </si>
  <si>
    <t>nar; naturaleza del xugo gástrico, mecanismo de la digestión, gota Sec., por el ciudadano Alyon, y de este al español, á 12 rs. en rústica y 14 en pasta. Propiedades medicinales del oxigeno en las enfermedades venéreas, sarnosas y herpéticas, á 8 rs. en r</t>
  </si>
  <si>
    <t>Amadeo de Mora</t>
  </si>
  <si>
    <t>los Subtenientes D. Bartolomé Gutiérrez, D. Francisco Campo Redondo, D. Antonio Rodriguez de Toro, D. Amadeo de Mora, D. ídatias Moñino y D. Luis García Piña. En los regimientos provinciales se ha servido S. M. promover á Capitán de granaderos del de Ecija al de fusileros del de Ciudad-Real Don</t>
  </si>
  <si>
    <t>Amar, Félix</t>
  </si>
  <si>
    <t>Félix Amar</t>
  </si>
  <si>
    <t>rvido nombrar para la Canongía magistral de la metropolitana de Tarragona .vacante^por promoción de D. Félix Amar á la Abadía del Real sitio de S. Ildefonso, a D. Josef Prats y Pelegn: para otra-Canongía de la colegial de Alean.*, diócesis de Zaragoza, a Don Tosef Blanc, Cura de Redueña, en e</t>
  </si>
  <si>
    <t>Amat y Robles, Andrés</t>
  </si>
  <si>
    <t>Andrés Amat y Robles</t>
  </si>
  <si>
    <t>o: para la del Toboso á D. Nicolás Velazquez Zurita, estas de primera clase: para la de Hornachos á D. Andrés Amat y Robles; y para el Corregimiento de Guadalcanal á D. Ciro de Meneses y Camacho, las dos de segunda clase, y todas en el territorio de la Orden de Santiago. . También ha concedido S. M. á</t>
  </si>
  <si>
    <t>Amaya, Ramón</t>
  </si>
  <si>
    <t>Ramón Amaya</t>
  </si>
  <si>
    <t>Francisco Barceló, D. Juan Varona, D. Josef IVÍo ota lleda , D. Joaquín Camacho, Don Juan Martínez, D. Ramón Amaya , E3. JflosefSuarez , D. Pedro del Barco, D. Pedro Nuñez, D. Manuel Kcdriggn§^&lt;» D. Juan Josef Murrieta, Don Francisco Spínola, D. Juan Ulloa., D. M-sariin Oarrichena , D. Manuel</t>
  </si>
  <si>
    <t>Amaya, Tomás</t>
  </si>
  <si>
    <t>Tomás Amaya</t>
  </si>
  <si>
    <t>n el de la Reyna al Ayudante, graduado de Capitán, Don Cristóbal Roldan: Tenencia en el de España á D. Tomas Amaya ; y empleo de Alférez en el del Rey al Portaestandarte D. Manuel Alcázar. En los de caballería iigera se ha servido igualmente S. M. promover á Ayu dante en el de cazadores de Pav</t>
  </si>
  <si>
    <t>Amelia Marra, Princesa</t>
  </si>
  <si>
    <t>Princesa Amelia Marra</t>
  </si>
  <si>
    <t>12 en el palacio Real el matrimonio de $. A. R. el Príncipe 'Guillerftio de Prusia con SrrA. S. la Princesa Amelia Marra -Ana de Hesse-Hombourg, con la mayor pompa y solemnidad. Reuniéronse eh el quarto de la novia los Príncipes , Princesas y quantos habían de componer el acompañamiento ,, y los señ</t>
  </si>
  <si>
    <t>Ametller, Blas</t>
  </si>
  <si>
    <t>Blas Ametller</t>
  </si>
  <si>
    <t>pa del dulce sueno de Jesús en el regazo de María, en pliego de marca mayor, díbuxada y grabada por D. Blas Ametller. Se hallará en la calcografía establecida en la imprenta Real. El Sr. Intendente de esta provincia por su decreto de jo dei corriente ha apro" bado el remate ceiebrado en 24 de Fe</t>
  </si>
  <si>
    <t>Amizonense, Obispo</t>
  </si>
  <si>
    <t>Obispo Amizonense</t>
  </si>
  <si>
    <t>ituales para las religiosas: su autor el limo. Sr. D. Fr. Miguel de Santander, delCoñsejo de S. M., Obispo Amizonense, Auxilia? y Gobernador del Arzobispado de Zaragoza. En esta obra se instruye á las religiosas en todas sus obligaciones, y los .Sacerdotes hallarán en ella las pláticas que suelen</t>
  </si>
  <si>
    <t>Amonio Álarcon</t>
  </si>
  <si>
    <t>24 de abril de 1804</t>
  </si>
  <si>
    <t>ro del Campo, se mandaba socar á pública subasta un diamante brillante de iogf granos , valuado por D. Amonio Álarcon y D. Manuel Ramos del Manzano, tasadores de joyas de S. M., en 67714rs., sin baxa ni descuento alguno, para que las personas que quisieren hacer postura lo executasen por la enunciada</t>
  </si>
  <si>
    <t>Amorós, Antonio</t>
  </si>
  <si>
    <t>Antonio Amorós</t>
  </si>
  <si>
    <t>guer....... 141..25 Antonio Amorós................. S. Salvador.......... ........... 141. •25 Ildefonso García.......»..;...... Zaragoza»..........;............. 141..15 Manuel Rodríguez............... Mora....</t>
  </si>
  <si>
    <t>Amphoux, Bartolomé</t>
  </si>
  <si>
    <t>Bartolomé Amphoux</t>
  </si>
  <si>
    <t>ién se ha servido conferir el Gobierno militar y político de la plaza de Almería, que por retiro de D. Bartolomé Amphoux ha resultado vacante , al Coronel Marques D’ Aigremont, segundo Ayudante mayor del regimiento de la Real guardia de infantería Walona. Igualmente ha nombrado S. M. á D. Manuel de</t>
  </si>
  <si>
    <t>Ampuero, Pedro</t>
  </si>
  <si>
    <t>Pedro Ampuero</t>
  </si>
  <si>
    <t>ranas de dotación en el batallón de Milicias disciplinadas de Españoles de Lima al Alférez veterano D. Pedro Ampuero, Comandante de Asamblea del partido de Cañete: para los empleos de Alléreces veteranos Comandantes de Asamblea de los partidos de Nasca, Lambayeque, Camaná y Cañete á D. Gabriel M</t>
  </si>
  <si>
    <t>Amsfeld, General</t>
  </si>
  <si>
    <t>General Amsfeld</t>
  </si>
  <si>
    <t>21 de septiembre de 1804</t>
  </si>
  <si>
    <t>le ofrecía esta circunstancia. En conseqüencia rehusó ceder su habitación; y S. M., acompañado del General Amsfeld, se ha visto precisado á ocupar el quarto segundo. Semlin 7 de Agosto. A las 6 de la tarde del 2 del corriente llegó Bekir-Baxá al campo de los Servios con 1^00 Bosniacos nada mas</t>
  </si>
  <si>
    <t>Ana María</t>
  </si>
  <si>
    <t>rk en dicho parage, de 3 fan., linde á oriénte y poniente dicho D. Antonio, á mediodia herederos de Doña Ana María, y a la sierra Deogracias López, en 1250 rs. Otra en Torrevilla, de 1 fan. y 6 cel. , linde á oriente con Josef López Adan , ¿ poniente las ánimas de Santiago de Alcalá, á 300 rs.</t>
  </si>
  <si>
    <t>Anastasio Cejudo</t>
  </si>
  <si>
    <t>e año se lee el artículo siguiente: „ Con carta de 19 de Mayo del presente año ha dirigido el Señor D. Anastasio Cejudo, Gobernador y Capitán general de Cartagena de las Indias, al Sr. Marques de Someruelos,Presidente, Gobernador y Capitán general de esta ciudad é isla, un expediente legalizado en</t>
  </si>
  <si>
    <t>l Audiencia de Caracas á D. Francisco Espejo, Abogado de ella. El Gobernador de Cartagena de Indias D. Anastasio Cejudo, ha dado cuenta á S. M. por ei Ministerio de Hacienda de haber descubierto por repetidas observaciones, que el papel azul, si está algo cargado de color, se preserva ileso del ins</t>
  </si>
  <si>
    <t>Anastasio de Garro</t>
  </si>
  <si>
    <t>701 D. Anastasio de Garro, Capellán de altar del Real convento de la Encarnacicii^^ ^ concedido á D. Juan Martin Hoppensack, Director dé minas, Real privilegio para beneficiar las de plata de Guadalcanal,</t>
  </si>
  <si>
    <t>Andueza, Ventura</t>
  </si>
  <si>
    <t>Ventura Andueza</t>
  </si>
  <si>
    <t>ara un Beneficio de la parroquial de Sta. María de Carmona, en el mismo arzobispado, por piuerte de Don Ventura Andueza, á D. Frañcisco de Reyna, Teniente deí tercer regi^ miento del Real cuerpo de Artillería: para la Prestamera de la mitacion de Prádena, en la diócesis de Córdoba, por fallecimient</t>
  </si>
  <si>
    <t>Ángel Lorenzo</t>
  </si>
  <si>
    <t>17 de enero de 1804</t>
  </si>
  <si>
    <t>la catedral de Murcia, en el obispado de Cartagena, vacante por muerte de D. Dionisio dei Ñero , á D. Angel Lorenzo, Cura párroco de Carriches: para la de Salamanca-, vacante por muerte de D. Francisco Montero Gmjon, á D. Marcelino Sánchez Rangels : para la de Málaga, vacante por fallecimiento</t>
  </si>
  <si>
    <t>Aníbal de la Chela</t>
  </si>
  <si>
    <t>villo. En el Regimiento de la R.eyna, segundo de cazadores, ha conferido S. M. empleo de Teniente á D. Aníbal de la Chela, Guardia de Corps de la Compañía Italiana, En los de caballería ligera se ha servido igualmente S. M. promover á Alféreces en el de cazadores de Pavía al Cadete D. Antonio Diez de</t>
  </si>
  <si>
    <t>Aniceto García Martínez</t>
  </si>
  <si>
    <t>3 de julio de 1804</t>
  </si>
  <si>
    <t>or promoción de D. Juan Josef Martínez á un Beneficio de las parroquias unidas de la de Corella , á D. Aniceto García Martínez, Cura de Santa María de Palacio de Logroño: para el quarto Préstamo de ruencarral, en el arzobispado de Toledo, vacante por fallecimiento de D. Manuel Doblado, á D. Manuel Deograc</t>
  </si>
  <si>
    <t>Anjtonio Paz, Domingo</t>
  </si>
  <si>
    <t>Domingo Anjtonio Paz</t>
  </si>
  <si>
    <t>ías Utilidades que puede tener. . ,/.$e solicita saber el paradero de Doña María Serrano , viuda de D. Domingo Anjtonio Paz, á quien hay que entregar algunos intereses que la corresponden; para cuyo-efecto podrá,acudir á D. Lorenzo Román Martínez Gayón, que vive calle del Estudio de la villa, detras de</t>
  </si>
  <si>
    <t>Anselmo Plaza</t>
  </si>
  <si>
    <t>14 de diciembre de 1804</t>
  </si>
  <si>
    <t>ovido el Rey á Capitán de granaderos del de Soria al de fusileros el Teniente Coronel de infantería D. Anselmo Plaza: á Capitanes de fusileros de los de Ronda y Toledo á los Tenientes de granaderos D. Mariano Gañestro y D. Clemente Garoz: á Teniente de granaderos del de Valladolid al de fusilero</t>
  </si>
  <si>
    <t>Anteio, Tomás</t>
  </si>
  <si>
    <t>Tomás Anteio</t>
  </si>
  <si>
    <t>mores: á Tenientes de fusileros en los de Logroño y Pontevedra á l os Subtenientes D. Vicente Ruiz, D. Tomas Anteio y D. Antonio María Romero; y á Subteniente de bandera en el de Pontevedra á D. Manuel Joaquín Henriquez , Cadete del de Orense. En América, En el regimiento de infantería de México se</t>
  </si>
  <si>
    <t>Antelo, Dionisio</t>
  </si>
  <si>
    <t>Dionisio Antelo</t>
  </si>
  <si>
    <t>27 de marzo de 1804</t>
  </si>
  <si>
    <t>rdejo : a Capitanes de fulleros de los de Bujalance y Ciuuad-Rcal a los Tenientes Don Pedro Melgar, D. Dionisio Antelo y D. Luis Morales: a Tenientes de granaderos de los de Avila y Torca á los de fusileros D. Vicente Zarza V D Claudio Martínez: á Tenientes de fusileros de los de Lnjalance, Tu y v eiu</t>
  </si>
  <si>
    <t>Antomo Vildozolo, Juan</t>
  </si>
  <si>
    <t>Juan Antomo Vildozolo</t>
  </si>
  <si>
    <t>se ha dignado promover á Capitán al Teniente T&gt;. Antonio Ajeente de Larrea ; ¿ Teniente al Alférez D. Juan Antomo Vildozolo., y a Alféreces á los Portaguiones DV Lorenzo Alcorte y-D. Manuél Arenzaua A D. I-fenrique dé la Mata Linares, Coronel del Regimiento de infantería de Granada, ha conferido el Rey</t>
  </si>
  <si>
    <t>Antonaya, Francisco</t>
  </si>
  <si>
    <t>Francisco Antonaya</t>
  </si>
  <si>
    <t>484- 4 Francisco Antonaya............. Valdepeñas....................... 14 Cosme Covato, Tambor...... Zaragoza................... J41..25 Pedro Orti</t>
  </si>
  <si>
    <t>Antoneli, Fernando</t>
  </si>
  <si>
    <t>Fernando Antoneli</t>
  </si>
  <si>
    <t>éxico se ha servido el Rey promover á Capitán al Ayudante D. Félix Navamuel; á Ayudante al Teniente D. Fernando Antoneli; á Teniente al Alférez D. Josef Miguel; á Alférez al Portaguión D. Félix Malo, y á Portaguión al Cadete D. Francisco Herrera. * La ciudad de Náxera, en la provincia de la Rioja ,</t>
  </si>
  <si>
    <t>Antoni</t>
  </si>
  <si>
    <t>ibano dei número Don Claudio Sanz. Teniendo que tratar cierto asunto de importancia con la viuda de D. Antoni# Noreña y Espinosa, Cónsul que fué en la isla de la Madera, la persona que sepa de su residencia, ó de la de sus herederos, lo comunicará á D. Manuel de Quevedo B istarmute, Secre</t>
  </si>
  <si>
    <t>Antonia Aldao</t>
  </si>
  <si>
    <t>10 de febrero de 1804</t>
  </si>
  <si>
    <t>edad es la basa incontrastable del gobierno.” AMERICA ESPAÑOLA. Puerto-Rico s.S de Octubre de 18o$. Doña Antonia Aldao, muger de D. Josef Bacener, Oficial mayor de la Contaduría, dió á luz el mes pasado tres criaturas (un niño y dos niñas) del mismo parto. Murieron de ia enfermedad que aquí se lla</t>
  </si>
  <si>
    <t>Antonia de Saxonia, Princesa</t>
  </si>
  <si>
    <t>Princesa Antonia de Saxonia</t>
  </si>
  <si>
    <t>21 de diciembre de 1804</t>
  </si>
  <si>
    <t>les conste que han hecho ya la quarentena, y que á bordo no reyna enfermedad ninguna contagiosa. La Princesa Antonia de Saxonia, Archiduquesa de Austria, ha nombrado por única heredera de sus bienes, que son muy quantiosos , á la Princesa María de Saxonia, hija mayor del Príncipe Maximiliano. El 4 del corr</t>
  </si>
  <si>
    <t>Antonia del Río y Arnedo, María</t>
  </si>
  <si>
    <t>María Antonia del Río y Arnedo</t>
  </si>
  <si>
    <t>dama Montier á su hija, escritas en francés por madarba le Prin-v veé de Beaumont, y traducidas por Doña María Antonia del Río y Arnedo: tres tomos en 8.° Esta obra se puede considerar como una escuela de educación xoar»' toda señora cristiana. Véndense en las librerías de Campo, calle de Alcalá , Escribano y viud</t>
  </si>
  <si>
    <t>Antonia Francisca Red</t>
  </si>
  <si>
    <t>dia 9 de Mayo del corriente año, á los 83 cumplidos de edad, falleció en esta corte la Eterna. Sra. Doña Antonia Francisca Red iguez de Evan, Sanz Merino, Peralta y Velasco, Marquesa de Falces, Condena de Santistéban de Lerin; viuda del Excmo. Sr. Conde ¿e Boornos . Grande de España, y Teniente General de</t>
  </si>
  <si>
    <t>Antonia María López</t>
  </si>
  <si>
    <t>ía, la iglesia, á la sierra PP. Trinitarios descalzos, to* dos de Covena, y a poniente herederos de Doña Antonia María López, vecina de Argete, á 800 rs, Otra en término de la villa de Argete, en Valserrano, de 5 fan., linde á oriente con la vereda, á mediodía tierra que fué de Andrés Bravo, á poniente</t>
  </si>
  <si>
    <t>Antonia Oteyza, Ana</t>
  </si>
  <si>
    <t>Ana Antonia Oteyza</t>
  </si>
  <si>
    <t>27 de noviembre de 1804</t>
  </si>
  <si>
    <t>Navarra, Obispado de Pamplona, los quales disfrutaron después su viuda Doña Francisca Contamina, y Doña Ana Antonia Oteyza, hija de ambos; y habiendo fallecido también estas, administra los referidos bienes D. Miguel Josef de Soler, Rector de la Parroquia de dicha villa, como albacea y encargado de R</t>
  </si>
  <si>
    <t>Antonia Peccori Attavanti, Condesa</t>
  </si>
  <si>
    <t>Condesa Antonia Peccori Attavanti</t>
  </si>
  <si>
    <t>e S. M. el Rey.__ Con esta disposición ha cesado en sus funciones de Tenienra de Aya la Excma. Sra. Condesa Antonia Peccori Attavanti , Dama de la insigne orden de María Luisa, Reyna de España; y queriendo S. M. la Reyna Regente manifestarla su soberana satisfacción por lo bien que ha desempeñado su cargo, se ha</t>
  </si>
  <si>
    <t>Antonia Várela, María</t>
  </si>
  <si>
    <t>María Antonia Várela</t>
  </si>
  <si>
    <t>....... 1 Lorenza Perez...^............................ 1 Doña Trinitaria Ferrer................. 1 Doña María Antonia Várela....... 1 Doña María Vareia y Merler..... x Bautista Botella............... 1 1x D. Nicolás de Módena................... 1 Juan •r &lt; Carr ata la ••••••••................ Nicolás Ca</t>
  </si>
  <si>
    <t>Antonia, Ana</t>
  </si>
  <si>
    <t>Ana Antonia</t>
  </si>
  <si>
    <t>enes D. Miguel Josef de Soler, Rector de la Parroquia de dicha villa, como albacea y encargado de R Doña Ana Antonia , última poseedora de ellos, de darles el destino que señala en su testamento, si algo sobrase de dichos bienes después de pagadas las obligaciones á que estuviesen sujetos. Lo qu</t>
  </si>
  <si>
    <t>Antoníno Sánchez Luengo</t>
  </si>
  <si>
    <t>3 de abril de 1804</t>
  </si>
  <si>
    <t>e Corregidor de esta villa, ha señalado para celebrar una junta de acreedores á la testamentaría de D. Antoníno Sánchez Luengo, vecino que fijé del lugar de Fuencarral, el dia 15 de Abril próximo, á las 9 de su mañana, en la posada de S. S., á su presencia, y por ante el Escribano del número D. Claudio Sa</t>
  </si>
  <si>
    <t>Antonio, Archiduque</t>
  </si>
  <si>
    <t>Archiduque Antonio</t>
  </si>
  <si>
    <t>6 de julio de 1804</t>
  </si>
  <si>
    <t>r esta renuncia, á la que le ha precisado su poca salud ,ha recaído dicha dignidad en su hermano el Archiduque Antonio, que ya era su coadjutor, quien fixará definitivamente su residencia en Mergentheim en Franconia. Se ha hablado mucho en toda Alemania de la dimisión hecha en Viena por el Conseje</t>
  </si>
  <si>
    <t>mendria está ya en poder de los sublevados. Viena y¡ de Junio. El 30 de este mes tomará S. A. S. el Archiduque Antonio posesión de la dignidad d£ Gran Maestre de la orden Teutónica. Ayer por la noche murió en esta ciudad el Cardenál Herzan, á los 69 años de edad. RatisbonaS de Junio. • En la penúl</t>
  </si>
  <si>
    <t>A. R. el Archiduque Carlos hizo la dimisión formal de la dignidad de Gran Maestre en su hermano el Archiduque Antonio , que estaba presente. Estas ceremonias se hicieron en la capilla de la Orden , con asistencia~de todos.los caballeros de la misma que se hallaban en Viena. Francfort go de Jimio.</t>
  </si>
  <si>
    <t>nderán S5. MM. el viage á Badén. S. M. ha conferido el grado de General de Artillería á S. At R. el Archiduque Antonio, Gran Maestre de 1a. orden Teutónica. El 29 del pasado fue quando designó formalmente esta dignidad el Archiduque Cárlos á presencia de todos los comendadores y caballeros, de min</t>
  </si>
  <si>
    <t>24 de agosto de 1804</t>
  </si>
  <si>
    <t>ente saliéron de aquí SS.MM, el Emperador y la Em* peratriz para Badén, donde tomarán las aguas. El Archiduque Antonio, Gran Maestre de la orden Teutónica, saldrá en breve para Mergenthein-; donde fixará su residencia. 'Dícese que irá acompañando al Archiduque Carlos, qüe va á visitar los diferent</t>
  </si>
  <si>
    <t>egura la comunicación entre la Georgia y las demas provincias del Imperio. Viena 2 de Setiembre. El Archiduque Antonio ha sido nombrado individuo de la Academia de ciencias y artes de esta capital. Se ha nombrado una comisión para el arreglo del ceremonial que ha de observarse en la coronación del</t>
  </si>
  <si>
    <t>mbre. Él Emperador, la Emperatriz y los Archiduques estarán aquí de vuelta para el 5 de Octubre. El Archiduque Antonio, Gran Maestre dé la Orden Teutónica, saldrá de esta capital el i.° del mismo mes. La fiesta que se había señalado para el i.° de Noviembre, con ocasión de la nueva dignidad Imperi</t>
  </si>
  <si>
    <t>de un Coadjutor del Elector Archicanciiler del Imperio Germánico, y que recaerá esta dignidad en el Archiduque Antonio. El Conde de Goe-rtz, Ministro Prusiano cerca de la Dieta de Ratis</t>
  </si>
  <si>
    <t>Antoniode Bustamante Bustilk, Francisco</t>
  </si>
  <si>
    <t>Francisco Antoniode Bustamante Bustilk</t>
  </si>
  <si>
    <t>upremo Consejo de las Indias de 18 de Enero dei-corriente año ,. proveído en autos que. en él signe D. Francisco Antoniode Bustamante Bustilk» Medinilla y-Rueda, vecino del lugar de Corvera,. valle de Toranzo , en las, montanas* de Santander ,, con el Consulado dé la ciudad de Sevilla , sobre paga de-un crédito de los n</t>
  </si>
  <si>
    <t>AntonioNicolau</t>
  </si>
  <si>
    <t>ía de Zamora D. Tomas Bielsa, D. Cárlos Emilio, D. Pedro Gómez, D. Manuel Tena, D.Ignacio Ventura y D, AntonioNicolau,de todas las obligaciones señaladas en la ordenanza; de las evoluciones y manejo del arma, de la aritmética, geometría, trigonometría, fortificación y ataque de plazas, delincació</t>
  </si>
  <si>
    <t>Aparicio, Francisco</t>
  </si>
  <si>
    <t>Francisco Aparicio</t>
  </si>
  <si>
    <t>ei de Mallorca á D. Andrés Floren: en el de Irlanda á D. Inocencio!Santobety: en el de Cantabria á D. Francisco Aparicio*, en el de IpP.iincesa á D. Vicente Baixauli: en el de Extremadura á D. Antonio Sánchez: en el de Borbon á D. Matias Ximenez; y en el batallón de infantería ligera de Voluntarios</t>
  </si>
  <si>
    <t>Apellaniz, Antonio</t>
  </si>
  <si>
    <t>Antonio Apellaniz</t>
  </si>
  <si>
    <t>, ¿ Don Francisco Xavier Duran: para la de Oidor, que este dexa en la Chancillaría de Valladolid, á D. Antonio Apellaniz, Alcaide del crimen mas antiguo de ella; y para esta resulta á D. Pedro Simó. En el dia 26 de Julio último entró en el puerto de la Coruña, procedente de los de Cartagena, Havana</t>
  </si>
  <si>
    <t>Aphin, Almirante</t>
  </si>
  <si>
    <t>Almirante Aphin</t>
  </si>
  <si>
    <t>a el 29 de Febrero* de donde se hizo á la vela para Europa el 18 de Marzo. Encontró en esta isla el Almirante Aphin, navio de la compañía, apresado por los fraila ceses. Consistía su cargamento en 11® onzas de plata para particulares. La Condesa de Sutheriand ha sido también apresado y Llevado</t>
  </si>
  <si>
    <t>Aragón, Manuel</t>
  </si>
  <si>
    <t>Manuel Aragón</t>
  </si>
  <si>
    <t>nte Croquer, Subte­ Manuel Aragón................... Mascaraque........................ 14 niente................................ Córdoba................... 484- 4 Francisco An</t>
  </si>
  <si>
    <t>Arango, Rafael</t>
  </si>
  <si>
    <t>Rafael Arango</t>
  </si>
  <si>
    <t>en el de Guadalaxara á D. Josef Corbalan: en el de Sevilla á Don Ildefonso Rifa: en el de Granada á D. Rafael Arango y D. Gaspar Echevarría: en el de Valencia á D. Josef María Cendrera, D. Manuel Ramírez y D. Benito Barraguer: en el de España á D. Josef Cardona y Don Antonio Chicheri: en el de Toled</t>
  </si>
  <si>
    <t>Araujo, Tomás</t>
  </si>
  <si>
    <t>Tomás Araujo</t>
  </si>
  <si>
    <t>Blanco Hervas, D. Josef Cabeza y D. Josef Bravo Bermudez. El premio de segunda clase le obtuvieron D. Tomas Araujo y D. Francisco Cantala.piedra : y el de tercera se concedió á D. Antonio Cordero j D. Josef Hervas, D. Josef del Campo,. Don Manuel Ibañez, D-. Francisco Apliegas , D. Tomas Pereda, D</t>
  </si>
  <si>
    <t>Arberg</t>
  </si>
  <si>
    <t>23 de octubre de 1804</t>
  </si>
  <si>
    <t>-Soucy; dio audiencia al Enviado de la Qorte.de Viena el Conde de Meterme!», y al Auditor de Estado Mr. Arberg, Enviado extraordinario del Emperador.de los Franceses. En esta audiencia Mr. de Arberg entregó una carta de Napoleón á S. M. Prusiana, quien inmediatamente se restituyó á Paretz.</t>
  </si>
  <si>
    <t>Arbuthnot</t>
  </si>
  <si>
    <t>era vez después de su enfermedad; y se dixo, que S. M. estaba mucho mejor de dos dias á esta parte. Mr. Arbuthnot ha sido nombrado Embaxador cerca de la Sublime Puerta. HOLANDA. Amsterdam /y de Junio. Muchos c fie Jales de nuestra marina han salido de orden del gobierno para Ostende, á las ór</t>
  </si>
  <si>
    <t>Arbuthnot, Lord</t>
  </si>
  <si>
    <t>Lord Arbuthnot</t>
  </si>
  <si>
    <t>ha decidido. ■;. . . . j / . r. ,, 1 , Se aguarda, incesantemente al nuevo, Ministro de Inglaterra Lord Arbuthnot, quien viene acompañado de Mr. Mortier, nombrado Cónsul general de Inglaterra en Levante. RUSIA. Petersburgo 24 de Octubre. En el mes de Agosto se ha embarcado en Petersburgo por</t>
  </si>
  <si>
    <t>Arbuthnoth</t>
  </si>
  <si>
    <t>s del Imperio. Francfort 28 de Agosto. La Corte de Viena ha recibido aviso de la próxima llegada de Mr. Arbuthnoth, que va de Embaxador Ingles cerca de la Puerta Otomana. Se detendrá para exercer las funciones de Ministro Británico ínterin llega el sucesor de Mr. Paget,quien dentro de 1 &gt; dias</t>
  </si>
  <si>
    <t>Arce y Caballero, Domingo</t>
  </si>
  <si>
    <t>Domingo Arce y Caballero</t>
  </si>
  <si>
    <t>3 de agosto de 1804</t>
  </si>
  <si>
    <t>uyo buen desempeño dixo un eloqiienttsimo elogio en honor del método, y exhortando á su propagación D. Domingo Arce y Caballero, del Consejo de S. M., su Ministro jubilado en la Real Ohancillería de Granada. El segundo dia dito un discurso sobre el modo de traducir con acierto D. Miguel Ortiz de ia Tejera,</t>
  </si>
  <si>
    <t>Arcos, Félix</t>
  </si>
  <si>
    <t>Félix Arcos</t>
  </si>
  <si>
    <t>los Sargentos primeros D. Tomas Leal, D. Melchor Fernandez y D. Sebastian Pereyra; y á los Cadetes D. Félix Arcos, Don Josef Perez, D. Juan Arguelles, D. Miguel de Sierra, D. Joaquín dé Sierra , D. Luis Carvajal, D. Josef Montero, D. Joaquín Rafael Inza y Don Josef Quiros: en el de Valencia l</t>
  </si>
  <si>
    <t>Arechavala, Miguel</t>
  </si>
  <si>
    <t>Miguel Arechavala</t>
  </si>
  <si>
    <t>lomino y D. Nazareo de Egeia, Capitanes segundos; y á este empleo á ios Tenientes Don Pablo Sirera, D. Miguel Arechavala y D. Melchor Silvestre. En los regimientos de cabállería de España , octavo de línea, y de Españoles , sexto de Húsares, se ha dignado el Rey promover &lt;i Tenientes á los Alféreces de</t>
  </si>
  <si>
    <t>Arenas, Francisco</t>
  </si>
  <si>
    <t>Francisco Arenas</t>
  </si>
  <si>
    <t>res de Lima: para el empleo de Capitán de la compañía de dragones de Chiloe al Teniente de la misma D. Francisco Arenas: á Teniente de la propia al Subteniente de ella D. Antonio Flores; y á Subteniente de, dicha compañía al Sargento primero de ella D. Francisco Xavier Velazquez. En la villa de Com</t>
  </si>
  <si>
    <t>Aréval, Benigno</t>
  </si>
  <si>
    <t>Benigno Aréval</t>
  </si>
  <si>
    <t>n Darailh: á Portaestandartes en el de Farnesio al Sargento primero D. Dionisio García, y al Cadete D. Benigno Aréval¡o,; y en el de Cazadores del Rey á Teniente al Alférez D. Jacinto de Irisarri. El Rey se ha servido conferir ia Tenencia Coronela del regimiento de</t>
  </si>
  <si>
    <t>Arezzo</t>
  </si>
  <si>
    <t>ir de sus casas al lleno del dia sin una urgencia precisa. El 2 del corriente salió de esta capital Mr. Arezzo, Embaxador del Papa cerca de nuestra corte. Esta salida es una conseqüencia necesaria de lo que ha pasado en Roma. Se asegura que el Duque Alberto de Saxonia-Teschen ha comprado l</t>
  </si>
  <si>
    <t>Argandoíía, Juan</t>
  </si>
  <si>
    <t>Juan Argandoíía</t>
  </si>
  <si>
    <t>..... . 141-25 2.a uur. 2.° Antonio Cura.................... - Zuera.................. ............ D. Juan Argandoíía , Te­ Isidro Peña....................... .. Pozuelo.......................... 141-25 niente............................... La Granja....................... 968.. 8 Juan Cordobés,.</t>
  </si>
  <si>
    <t>Argiropolo</t>
  </si>
  <si>
    <t>te Mr. Jenkynson , que pasa á Viena en calidad de Secretario^ de legación del Gobierno Británico, y Mr. Argiropolo , Ministro residente de la Sublime Puerta cerca de nuestra Corte. Ei.14 vino S. M. de Paretz á Sans-Soucy; dio audiencia al Enviado de la Qorte.de Viena el Conde de Meterme!», y a</t>
  </si>
  <si>
    <t>Árgiropolo</t>
  </si>
  <si>
    <t>sta retirada se ha efectuado con motivo de acercarse el invierno. ALEMANIA. Hamburgo /* de Octubre. Mr. Árgiropolo, Ministro Otomano cerca de la Corte de Berlín, presentó el 9 del corriente sus cartas credenciales á S. M. Prusiana. Acaban de dar los literatos Alemanes otra prueba de su fecundi</t>
  </si>
  <si>
    <t>Arguelles, Antonio</t>
  </si>
  <si>
    <t>Antonio Arguelles</t>
  </si>
  <si>
    <t>ldonado, donde se dará razón del sugeto con quien se ha de contratar para ello. Antonio Arguelles, natural de Santianes de Quíllote, en el principado de Astriñas, pasó á la América sirviendo de cocinero al Teniente General D. Ignacio de Alava en su expedición al Perú y Filipinas, á bor</t>
  </si>
  <si>
    <t>Arguelles, Bartolomé</t>
  </si>
  <si>
    <t>Bartolomé Arguelles</t>
  </si>
  <si>
    <t>íctor Vinader, D.,.Vicente de Lago, D. Pedro Landazuri, D. Joaquín de Soroa, D. Adriinti.Morquecho, D. Bartolomé Arguelles, D. Fernando Becerra, D. Rafkl Bovadillo, D. Josef Mendivil, I). Antonio Saavedra, D. Vicente Vallijcel, D. Josef Primo de Ribera,</t>
  </si>
  <si>
    <t>Arguelles, Juan</t>
  </si>
  <si>
    <t>Juan Arguelles</t>
  </si>
  <si>
    <t>Leal, D. Melchor Fernandez y D. Sebastian Pereyra; y á los Cadetes D. Félix Arcos, Don Josef Perez, D. Juan Arguelles, D. Miguel de Sierra, D. Joaquín dé Sierra , D. Luis Carvajal, D. Josef Montero, D. Joaquín Rafael Inza y Don Josef Quiros: en el de Valencia la Comandancia del tercer batallón al</t>
  </si>
  <si>
    <t>Arias de Saavedra, Fernando</t>
  </si>
  <si>
    <t>Fernando Arias de Saavedra</t>
  </si>
  <si>
    <t>ey se ha servido nombrar para una Ración de la metropolitana de Lima , vacante por fallecimiento de D. Fernando Arias de Saavedra, á D. Juan Gerónimo Valdés, Medio-Raqionero de ella: pata esta resulta á D. Josef Xavier de Irurzur , Cura en el misino arzobispado; y para una Media-Ración de la catedral de Cuen</t>
  </si>
  <si>
    <t>Arias Gonzalo de Mendoza y Francia</t>
  </si>
  <si>
    <t>26 de junio de 1804</t>
  </si>
  <si>
    <t>de orden de los Sres. Obispos de aquella diócesis, publicadas por varios teólogos, y traducidas por D. Arias Gonzalo de Mendoza y Francia. Aunque el mérito de esta obra, primera en su clase, es bastante conocido entre los que se dedican al estudio de la ciencia de la Iglesia, no todos los que la hayan oido elogiar h</t>
  </si>
  <si>
    <t>Arias Rubalcaba, Rafael Antonio</t>
  </si>
  <si>
    <t>Rafael Antonio Arias Rubalcaba</t>
  </si>
  <si>
    <t>por promoción de D. Juan Salomón Mayoral á una Canongía de la colegial de S. Hipólito de Córdoba, á D. Rafael Antonio Arias Rubalcaba: para el Préstamo del Castillejo de Azaba, en el obispado de Ciudad-Rodrigo, vacante por muerte de D. Felipe Breciani * á D. Juan Rodríguez, Cura del lugar de Peñaparda en el mism</t>
  </si>
  <si>
    <t>Arias, María</t>
  </si>
  <si>
    <t>María Arias</t>
  </si>
  <si>
    <t>ariana Rodríguez, Antonia Lozano y Ramona Buquerin.__ En otra escuela de costura, de que es maestra Doña María Arias, se dio el primer premio á Josefa, Monedero , de edad de 7 años, Petronila Nieto, Valentina Gayoso y Rosa Caballero: no habiéndose dado á Lucía Arias, que renunció por ser hermana</t>
  </si>
  <si>
    <t>sebia Velez; y el segundo á Telesfora Martínez , Ines Mayo y Eleuteria Cembrerero. En la escuela de Doña María Arias se adjudicó el premio primero á María Aran jo, Isabel Bastida, Lorenza Rodríguez y Valentina Bercero; y el segundo á María Cortes, Petra de S. Juan, Baldomera de Ara, Petra Fernan</t>
  </si>
  <si>
    <t>Arkali Iwanowitsch, Conde</t>
  </si>
  <si>
    <t>Conde Arkali Iwanowitsch</t>
  </si>
  <si>
    <t>cripto, que, con feícha de 24 de Febrero, dirigió nuestro Emperador al Conde de Markow. Dice asir ,,Conde Arkali Iwanowitsch, habiendo accedido á vuestras súplicas de mandar que vinieseis de Paris , donde habéis observado mis órdenes con el mayor zelo y satisfacción mia, tengo muy gran gusto en hacer un</t>
  </si>
  <si>
    <t>Armstrong, General</t>
  </si>
  <si>
    <t>General Armstrong</t>
  </si>
  <si>
    <t>14 de septiembre de 1804</t>
  </si>
  <si>
    <t>Junio. Mr. Livingston, habiendo hecho dimisión de su ministerio cerca de la República Francesa, el General Armstrong, de Nueva-Yorck, ha sido nombrado su sucesor. Mr. Thornton, Secretario de la Legación Británica, ha salido de Washington par^ restituirse á su patria-----Son infinitas y contradic</t>
  </si>
  <si>
    <t>pués de habérsele frustrado sus esperanzas de regresar á Francia en compañía del nuevo Embaxador el General Armstrong, quien se hizo á la vela de Nueva Yorck el 3 del mismo mes. El 7 de Agosto habia en la Martinica, á pesar del bloqueo, 70 buques Americanos, la mayor parte de los quales acababa d</t>
  </si>
  <si>
    <t>Arnaiz, Luis</t>
  </si>
  <si>
    <t>Luis Arnaiz</t>
  </si>
  <si>
    <t>de fusileros D. Francisco Morales y D. Ignacio Salazar: ¿Tenientes á los Subtenientes de granaderos D. Luis Arnaiz,D. Manuel Alonso y D. Antonio Moreno, y al de fusileros D. Juan Quiñones: á Subtenientes de granaderos á los de fusileros D. Juan de Castro, D. Josef Manuel González y D. Vicente</t>
  </si>
  <si>
    <t>Arquellada, Ventura</t>
  </si>
  <si>
    <t>Ventura Arquellada</t>
  </si>
  <si>
    <t>estado de las cárceles de Filadelfía, escrita en francés por Rochefoucauld-Liancourt, traducida por D. Ventura Arquellada. Véndese á 5 rs. en el despacho de la imprenta ^Real. Los viages de Rolando y de sus compañeros de fortuna al rededor dél mundo: obra de L. F. JaufFret, destinada á dar á la juven</t>
  </si>
  <si>
    <t>Arracó, Matías</t>
  </si>
  <si>
    <t>Matías Arracó</t>
  </si>
  <si>
    <t>D. Manuel López Conesa; y á Teniente en el primer batallón de Voluntarios de Aragón al Subteniente D. Matías Arracó. En América. S. M. se ha dignado promover á Capitanes en el Regimiento de infantería Real de Lima á D. Fernando Barrantes y D. Carlos Moncayo, Tenientes del propio Cuerpo; á Tenie</t>
  </si>
  <si>
    <t>Arribas, Pablo</t>
  </si>
  <si>
    <t>Pablo Arribas</t>
  </si>
  <si>
    <t>Una medalla del valor de 1500 rs., ó su equivalente, y ademas otra onza de oro que ofrece el socio D. Pablo Arribas á la mejor memoria que demuestre quanto perjudica á la agricultura, artes y comercio de Valladoiid su enorme deuda municipal, y proponga los medios justos, mas prontos y seguros d</t>
  </si>
  <si>
    <t>Arroyo, Tomás</t>
  </si>
  <si>
    <t>Tomás Arroyo</t>
  </si>
  <si>
    <t>ros D. Josef Viya y al de bandera D. Josef Manuel Villanueva, y á Subtenientes á D. Dimas de Cañas, D. Tomas Arroyo, D. Josef DomingoUrquisavaso, D. Luis de Vera, D. Josef María Fernandez Boullosa, D. Josef Manuel Díaz de la Madrid, D. Francisco Ruiz Linares , D. Francisco Xavier y Andrade , Do</t>
  </si>
  <si>
    <t>Artacho y Moreno, Joaquín</t>
  </si>
  <si>
    <t>Joaquín Artacho y Moreno</t>
  </si>
  <si>
    <t>de la Madrid, D. Francisco Ruiz Linares , D. Francisco Xavier y Andrade , Don Josef María Noriega, D. Joaquín Artacho y Moreno y D.Francisco Zosaya, veciiios de aquella provincia. El ib del corriente mes dé Abril dio fonido eri el puerto de la Cortina el bergantín correo de la Reál armada nombrado el Postilló</t>
  </si>
  <si>
    <t>Artazo, Manuel</t>
  </si>
  <si>
    <t>Manuel Artazo</t>
  </si>
  <si>
    <t>vido conferir los empleos de Coronel y Sargento Mayor del regimiento de infantería de la Luisiana á D. Manuel Artazo, Comandante del tercer'batallón-del de Sevilla, y D. Josef María Morcillo, Capitán del de Córdoba , concediendo también á este el grado de Teniente Coronel. Asimismo ha promovido</t>
  </si>
  <si>
    <t>Arteaga, Antonio</t>
  </si>
  <si>
    <t>Antonio Arteaga</t>
  </si>
  <si>
    <t>romover á Alférez de la misma al Exento D. Joaquín Ferrandiz"; á Exentó de numero al Supernumerario D. Antonio Arteaga; á supernumerarios al Brigadier D. Josef Guillen y al Cadete D. Antonio Pascual Barradas; á Brigadieres á los Subrigaáieres D. Roque Parrada y 1D. Manuel Pallares; á Subrigadieres</t>
  </si>
  <si>
    <t>Arteága, Francisco</t>
  </si>
  <si>
    <t>Francisco Arteága</t>
  </si>
  <si>
    <t>17 de julio de 1804</t>
  </si>
  <si>
    <t>S. M. promover á Exento de número al Supernumerario Don Josef Azcutia; y á Supernumerario al Cadete D. Francisco Arteága: á Cadete de número al Supernumerario D* Josef Olea , y á Supernumerario al Guardia D. Josef Muzquiz. El Rey se ha servido conceder Ayudantía en el regimiento de infantería de Uit</t>
  </si>
  <si>
    <t>Arteta, Antonio</t>
  </si>
  <si>
    <t>Antonio Arteta</t>
  </si>
  <si>
    <t>22 de mayo de 1804</t>
  </si>
  <si>
    <t>nformidad de sus miembros, robustez,, agilidad y fuerzas competentes: tres tomos en4.0: su autor el Dr. Don Antonio Arteta, Arcediano de Aliaga, Dignidad de la iglesia metropolitana de Zaragoza. Se hallará en la librería de Bustamante , puerta del Sol; en Zaragoza en casa de Baylo , plaza del Carbón;</t>
  </si>
  <si>
    <t>Arthur Paget</t>
  </si>
  <si>
    <t>Glenbervié, Mr. Wallace, y Lord Dunlo. — También ha nombrado S. M. caballero de la orden del Baño á Mr. Arthur Paget-, su Enviado extraordinario en la corte de Viena. Dícese que Mr. Forster ha sido nombrado Canciller del Echiquier, y primer Lord, de la tesorería de Irlanda. : Los Embaxadores de R</t>
  </si>
  <si>
    <t>Arthur-Paget</t>
  </si>
  <si>
    <t>reservándose todos sus derechos contra el Conde de Bentheim-Steinfurth.” i í* &lt; Viena 27 de Junio. Mr. Arthur-Paget, Embaxador de Inglaterra en nuestra corte, saldrá en breve para Londres con licencia , y se duda mucho que vuelva aquí. Mr. Duthon, Encargado de Negocios de la República de las Si</t>
  </si>
  <si>
    <t>Arzobispo de la Iglesia de Bolonia, Cardenal</t>
  </si>
  <si>
    <t>Cardenal Arzobispo de la Iglesia de Bolonia</t>
  </si>
  <si>
    <t>28 de diciembre de 1804</t>
  </si>
  <si>
    <t>lle de las Carretas. Pastoral de nuestro Santísimo Padre Benedicto xiv, de gloriosa memoria, siendo Cardenal Arzobispo de la Iglesia de Bolonia; é Instrucciones eclesiásticas para su Diócesi, traducidas del toscano por el R. P. M. Fr. Juan Facundo Raulin, exGerxeral del Orden de S. Agustin &amp;c.; sexta impresión , hecha en</t>
  </si>
  <si>
    <t>Arzobispo de Paris, Cardenal</t>
  </si>
  <si>
    <t>Cardenal Arzobispo de Paris</t>
  </si>
  <si>
    <t>- Antes de ayer se celebró una misa solemne, con música, en la iglesia de Ntra.- Sra., de orden del Cardenal Arzobispo de Paris, para dar gracias á Dios por la conservación de los preciosos dias del primer Cónsul. Ayer se publicó, por el Prefecto del Sena, un decreto del gobierno relativo á la formación de</t>
  </si>
  <si>
    <t>Arzobispo de París, Cardenal</t>
  </si>
  <si>
    <t>Cardenal Arzobispo de París</t>
  </si>
  <si>
    <t>os, los individuos del gran Consejo, y el gran Canciller y Tesorero de la Legión de honor.__ Mr. el Cardenal Arzobispo de París con el clero, recibió ai • Emperador en la puerta de la iglesia, presentándole incienso y agua bendita. £n seguida le condujeron procesionalmente baxo de palio hasta el 'trono.imp</t>
  </si>
  <si>
    <t>s del trono----- A la derecha del altar estaba el Cardenal Legado baxo de dosel ;á la izquierda, ei Cardenal Arzobispo de París con su clero.--- Detras del altar estaban foimados 700 inválidos, y 200 alumnos de la escuela Polytéchnica---- Ocupaban la nave los grandes oficiales, comandantes , oficiales é in</t>
  </si>
  <si>
    <t>o ártico queda oculto debaxo del azogue luego que se pasa la línea. £1 Cardenal Mauri ha escrito al Cardenal Arzobispo de París una carta, en la qual le manifiesta ser enteramente adicto á la dinastía actual, y á los principios de gobierno adoptados últimamente en Francia. ESPAÑA. Madrid 28 de Setiembre. S</t>
  </si>
  <si>
    <t>gusta presencia renovó las aclamaciones y transportes de júbilo que habia excitado en la parada. El Cardenal Arzobispo de Paris acaba de mandar que sé hagan rogativas por el próspero viage de S. S. el Papa Pió vn , que viene á Paris para consagrar á S. M. Napoleón , Emperador de los Franceses, y porque vue</t>
  </si>
  <si>
    <t>uevamente construida se encaminará al trono, que se le ha preparado en el salón de las sesiones. El Cardenal Arzobispo de Paris acaba de mandar que se hagan rogativas públicas en su diócesis, con motivo de la coronación de S. M. I. La víspera de este augusto dia se cantará una Misa solemne del Espíritu San</t>
  </si>
  <si>
    <t>Arzobispo de Toledo, Cardenal</t>
  </si>
  <si>
    <t>Cardenal Arzobispo de Toledo</t>
  </si>
  <si>
    <t>en la villa de Casarubios del Montebaxo la inmediata autoridad: y protección del Emo. y Excmo. Sr. Cardenal Arzobispo de Toledo, D. Luis de-Borbon; y como hasta ahora no; se habían hecho en ninguna parte constituciones; para esta clase de educación , considerando que es indispensable un método para* formar</t>
  </si>
  <si>
    <t>Arzobispo, Cardenal</t>
  </si>
  <si>
    <t>Cardenal Arzobispo</t>
  </si>
  <si>
    <t>Noviembre. El día 14 del corriente sé hizo.la apertura de -la universidad á presencia, dei Dux, del Cardenal Arzobispo, y de otras autoridades y personas. El Senador Maglione abrió la sesión anunciando el beneficio, determinación y miras que ha tenido el gobierno en la nueva planta que ha dado á l</t>
  </si>
  <si>
    <t>stancias, el Prefecto del departamento, en nombre dé sus habitantes, suplica á S. Erna. Monseñor el Cardenal Arzobispo metropolitano de Rúan, qué permita á los fieles de su diócesis el comer carnes y huevos durante la quaresma del año xn de la República, en los dias que coffi venga señalar, y con</t>
  </si>
  <si>
    <t>n.rm Pastoral de instrucciones eclesiásticas para su diócesis de Ntro. SS. P. Benedicto xiv, siendo Cardenal Arzobispo de la santa iglesia de Bolonia, traducida del toscano : sexta edición. Se hallarán en la librería de Alonso, frente á las gradas de S. Felipe. Piratas de la América, y luz á la defensa</t>
  </si>
  <si>
    <t>Asen-io Ximero</t>
  </si>
  <si>
    <t>6 de enero de 1804</t>
  </si>
  <si>
    <t>r en el regimiento de infantería de Africa Subtenencia de bandera al Sargento primero de granaderos D. Asen-io Ximero; y Tenencias en los de Astúrias y Extremadura á los Subtenientes de granaderos D. Luis Gutiérrez y D. Josef Salgado. También se ha dignado. S. M. conferir Tenencias en los regimie</t>
  </si>
  <si>
    <t>Asensio Chulía</t>
  </si>
  <si>
    <t>dro pintado por D. Francisco Goya, uno de los dos actuales primeros Pintores de S. M., dibuxada por D. Asensio Chulía, y grabada por D. Josef Vázquez, Académico de mérito de la Real Academia de S. Fernando. Se hallará en las librerías de Escribano, calle de las Carretas, y de Ramos, carrera de S.</t>
  </si>
  <si>
    <t>Astruc</t>
  </si>
  <si>
    <t>4 de mayo de 1804</t>
  </si>
  <si>
    <t>ciones que se hacen en el hombre muerto, de dicho autor.rrTratado de las enfermedades venéreas, por Mr. Astruc, traducidas por D. FélixGalistéo, profesor de cirugía. Se hallarán en la librería de Fernandez, frente á las gradas de S. Felipe. Confesión del Sermo. Príncipe D. Antonio de Portu</t>
  </si>
  <si>
    <t>Atanasio Genaro Brizguz y Bru</t>
  </si>
  <si>
    <t>ra, Ja distribución de los planos de templos y casas, y el conocimiento de los materiales: su autor D. Atanasio Genaro Brizguz y Bru: un tomo en 4.0, con 54 láminas. Xa rapidez con que se vendió la primera edición, de la que con trabajo apénas puede encontrarse un exemplar; lo mejorada y correcta que sale esta</t>
  </si>
  <si>
    <t>Atilano Martínez</t>
  </si>
  <si>
    <t>12 de octubre de 1804</t>
  </si>
  <si>
    <t>imple servidero del lugar de Becedas, Diócesis de Plaséncia, vacante por muerte de D. Pedro Lomo, á D. Atilano Martínez / Sochantre segundo de la Real:Iglesia Colegial de S. Ildefonso; y para los Beneficios simples de S. Martín de Bombón y Melgainures, en dicha Diócesis de Zamora, que obtenia D. To</t>
  </si>
  <si>
    <t>AubertDubayet, General</t>
  </si>
  <si>
    <t>General AubertDubayet</t>
  </si>
  <si>
    <t>Embaxador de Francia, ha mandado trasladar á la iglesia de los capuchinos de S. Luis el cuerpo del General AubertDubayet, Ministro de la República, fallecido 7 años ha en es»ta capital, y enterrado en el jardín del palacio de Francia. Se ha verificado la traslación con todas las ceremonias eclesiást</t>
  </si>
  <si>
    <t>Augustemburgo, Duque</t>
  </si>
  <si>
    <t>Duque Augustemburgo</t>
  </si>
  <si>
    <t>con el nombre de Condesa de Hohenstein; al día siguiente asistió al coliseo. Dícese que S.A. S. el Duque Augustemburgo, de Dinamarca, hará un viage á Alemania, con motivo de tomar los baños. El Príncipe de Anhait-Bernburgo acaba desmandar erigir un monumento de mármol en el jardín del palacio de V</t>
  </si>
  <si>
    <t>Augusto de Kotzbue</t>
  </si>
  <si>
    <t>Benedito y en Cartagena en la,de Gallardo. El año mas memorable de mi vida, por Augusto de Kotzbue, autor de la Misantropía, de 1.a Reconciliación &amp;c., escrito por él mismo, traducido del alemán al francés, y de este al castellano por D,R.F., Alférez de Navio de la Real Armada: dos to</t>
  </si>
  <si>
    <t>Aureb, Teniente General</t>
  </si>
  <si>
    <t>Teniente General Aureb</t>
  </si>
  <si>
    <t>ea Rusos destinados á Corfú; llevan á su bordo 1200 hombres. Los acompaña, en un buque mercante, el Teniente General Aureb, quien, aseguran, tomará á su llegada á Corfú el mando de las tropas Rusas que se hallan en las islas Tónicas. Los bandidos de Romelia continúan infestando aquella provincia, y ya</t>
  </si>
  <si>
    <t>Ausejo, Antonio</t>
  </si>
  <si>
    <t>Antonio Ausejo</t>
  </si>
  <si>
    <t>lián, D. Francisco Topete, D. Manuel del Castillo, D. Vicente María Saavedra, D. Miguel Montemayor, D. Antonio Ausejo, D. Martin de Mendoza, D. Felipe Ibargiien, D. Francisco Solís, D. Josef Pasalagua, D. Diego de Aguirre, D. Vicente Climent, D. Juan Albornoz, D. Joaquin de Toledo, D. Joaquin Leo</t>
  </si>
  <si>
    <t>Austríaco Conde de Brady, General</t>
  </si>
  <si>
    <t>General Austríaco Conde de Brady</t>
  </si>
  <si>
    <t>ga interrupción han comenzado á continuarse á primeros de este mes, son de la mayor importancia. El General Austríaco Conde de Brady, que manda en las provincias de la Dalmacia y de la Albania, ha enviado un correo al Emperador dándole parte de los combates que ha tenido con los sublevados de la Turquía, quiene</t>
  </si>
  <si>
    <t>Austríaco, General</t>
  </si>
  <si>
    <t>General Austríaco</t>
  </si>
  <si>
    <t>obrí: r\ 7 &lt; ' Avisan de Bruselas qUéMir, de Aáberg, Auditor del Ministro de la Guerra, é hijo :del General Austríaco de este nombre, había ^salido de allí para Petersburgo, Con un encargo particular del 'Gobierno* o ESPAÑA. fifadríd de Octubre, El R&amp;t se ha servido nombra* para la Canongía que en la</t>
  </si>
  <si>
    <t>Autran, Manuel</t>
  </si>
  <si>
    <t>Manuel Autran</t>
  </si>
  <si>
    <t>ntes D. Luis Negron, D. Francisco del Rey y D. Miguel Baños López; y á Tenientes á ios Subtenientes D. Manuel Autran y D. Josef Almela. En el Regimiento de caballería de línea del Rey se ha servido S. M. promover á Alférez ai Portaestandarte D. Josef Cheli: á Capitán en el del Infante al Ayudante,gr</t>
  </si>
  <si>
    <t>Avalle, Benito</t>
  </si>
  <si>
    <t>Benito Avalle</t>
  </si>
  <si>
    <t>16 de octubre de 1804</t>
  </si>
  <si>
    <t>diez y D. Francisco Quesada ;y á Capitanes segundos de infantería á los Tenientes D. Juan Mansilla, D. Benito Avalle y D. Francisco Macia. Como también á Capitán segundo de las compañías lixas de Artillería de la plaza de Ceuta al Teniente D. Esteban Cortiñas, y á Teniente al Subteniente de las mism</t>
  </si>
  <si>
    <t>Avaria, Tomás</t>
  </si>
  <si>
    <t>Tomás Avaria</t>
  </si>
  <si>
    <t>ar para la Dignidad de Arcediano de Borriol de la Catedral de Tortosa, vacante por fallecimiento de D. Tomas Avaria, á D. Josef Antonio Vilar. El Rey se ha servido conferir Compañías en el Regimiento de infantería de Asturias al Ayudante del deToledo, graduado de Capitán, Don Josef López Paez:</t>
  </si>
  <si>
    <t>Avello, Juan</t>
  </si>
  <si>
    <t>Juan Avello</t>
  </si>
  <si>
    <t>udante con grado de Capitán D. Diego Reguera: Tenencia en el de Zamora al Subteniente de granaderos D. Juan Avello; y Subtenencias de bandera en el expresado de América aí Sargento primero de granaderos D. Antonio Rodríguez, y á los Cadetes D. Josef Espinosa y D. Juan Moreno. S. M. se ha digna</t>
  </si>
  <si>
    <t>Aventuras de Telémaco</t>
  </si>
  <si>
    <t>o 9.0 Se hallará, con los anteriores, en la libreiía de Sancha, calle del Lobo. Aventuras de Telémaco, hijo de Ulises, por el limo. Sr. Fenelon, Arzobispo de Cambray: traducción de D. Fernando Nicolás de Rebolieda. Hay tres ediciones, una en castellano solo: 2 tomos en 8.°, á 14 rs. en</t>
  </si>
  <si>
    <t>Ayerdi, Rafael</t>
  </si>
  <si>
    <t>Rafael Ayerdi</t>
  </si>
  <si>
    <t>574 te de granaderos del de Pontevedra al de fusileros D. Rafael Ayerdi. En América. En atención á los méritos y circunstancias del Dr. Don Juan Bautista Sacristán, Canónigo Doctoral de la catedral de Valladolid, ha venido S. M. en nombrarle para el A</t>
  </si>
  <si>
    <t>Aymerich, Pedro</t>
  </si>
  <si>
    <t>Pedro Aymerich</t>
  </si>
  <si>
    <t>ií)t zuriaga; y á Subteniente de bandera eñ el de la Reyna al Cadete D. Pedro Aymerich. r 1 &lt; J S. M. se. ha dignado nombrar á Ayudante en el regimiento de infantería de Córdoba al Teniente, graduado de Capitán, D. Josef Chiva: á Tenientes en los de Mallorca y Jaén</t>
  </si>
  <si>
    <t>Ayora, Pedro María</t>
  </si>
  <si>
    <t>Pedro María Ayora</t>
  </si>
  <si>
    <t>en los de Valladolid, Sevilla, Lorca, Truxillo, Segovia y Guadix á los Tenientes D. Jacobo Blanco, D. Pedro María Ayora, D. Claudio Martínez, D. Cristóbal del Solar de Celis, D. Luis Pecoso, D. Fernando Mateos, y al Capitán reformado D. Vicente Gómez del Mercado: á Tenientes en los de Sevilla y Xer</t>
  </si>
  <si>
    <t>Ayuso Fuentes, Francisco</t>
  </si>
  <si>
    <t>Francisco Ayuso Fuentes</t>
  </si>
  <si>
    <t>a, que han quedado vacantes por promoción al Deanato de la de Segorve ae D. Juan Bautista García, á D. Francisco Ayuso Fuentes, Cura párroco de la villa de Galve , en aquella diócesis : para la Prestamera de Enciqasola, en el arzobispado de Sevilla ,, yacante por. fallecimiento:de ,D. Eüfrasio Díaz de Per</t>
  </si>
  <si>
    <t>Azcona, Manuel</t>
  </si>
  <si>
    <t>Manuel Azcona</t>
  </si>
  <si>
    <t>ía Real de S. Jorge de la ciudad de Olite, en el Obispado de Pamplona, vacante por fallecimiento de D. Manuel Azcona, y haber muerto sin posesionarse dé ella D. Juan Manuel Saenz de Manjarres, á D. Felipe Perez, individuo de la Real Capilla. S. M. se ha servido nombrar para un Beneficio de la Pa</t>
  </si>
  <si>
    <t>Azpiroz, Juan Francisco</t>
  </si>
  <si>
    <t>Juan Francisco Azpiroz</t>
  </si>
  <si>
    <t>Pineda, D._ Alberto de Córdoba, y D. Francisco Marti: á Capitanes primeros á los Capitanes segundos Don Juan Francisco Azpiroz, D. Josef Velarde,y D. Joaquín Grandona;y á Capitanes segundos á los Tenientes D. Josef Castellar, D. Pedro Díaz de Ribera , y D. Benito Irazabal.. S*. M.. se. ha servido nombrar</t>
  </si>
  <si>
    <t>Azua, Francisco</t>
  </si>
  <si>
    <t>Francisco Azua</t>
  </si>
  <si>
    <t>empleo, que ha conferido á D. Fermin Zalayeta, Oficial mayor de la citada Secretaría: esta plaza.á D. Francisco Azua; y la que este dexa de Oficial segundo á Don Josef Antonio Molina. El 31 de Octubre próximo pasado entró en el puerto del Ferrol, procedente del de Montevideo, la corbeta de la Re</t>
  </si>
  <si>
    <t>B'anque, Manuel</t>
  </si>
  <si>
    <t>Manuel B'anque</t>
  </si>
  <si>
    <t>acen 889,666 rs. La persona que le acomode comprarla, y tratar sobre su ajuste, acudirá en Madrid á D. Manuel B'anque, que vive en la red de San Luis, 1 úms. 39 y 41 , y en Barcelona al Dr. D. Cayetano María Menos. Los heredaros inmediatos, que acrediten serlo per legítimos documentos, de D. Anto</t>
  </si>
  <si>
    <t>Bacaro, Manuel</t>
  </si>
  <si>
    <t>Manuel Bacaro</t>
  </si>
  <si>
    <t>cdriggn§^&lt;» D. Juan Josef Murrieta, Don Francisco Spínola, D. Juan Ulloa., D. M-sariin Oarrichena , D. Manuel Bacaro, D. Antonio Bovadilla, D. Migu«i(li Martínez, D. Luis Lasqueti,Don Juan Latre, D. Tomas Urrecha, D: R.jmon Moyua, D. Ramón Torre, D. Manuel Berna!, D. Antonio Mañeáis D.Joaquín El</t>
  </si>
  <si>
    <t>Bacher</t>
  </si>
  <si>
    <t>xemplo , apoderándose dei señorío inmediato de Reiffenberg; y pide de nuevo el auxilio de la Dieta. Mr. Bacher, Encargado de negocios de la República francesa, ha remitido una nota á la Dieta, con lecha de 26 del corriente, acompañada de la copia de un breve de S. S., dirigido al primer Có</t>
  </si>
  <si>
    <t>ieta los socorros que la constitución del Imperio le dan derecho á requerir. El ciudadano Bacher ha hecho hoy, á la Dieta general del Imperio, la notificación siguiente: ,,Píabiendo experimentado grandes dificultades muchas disposiciones del recenso del Im</t>
  </si>
  <si>
    <t>EMANIA. Raíisbona 2$ de Mayo. Hoy se ha presentado en la dictadura la nota que-pasó ayer á la Dieta Mr. Bacher, Encargado de negocios de Francia * Cuyo tenor es el siguiente: ,, El infrascrito Encargado de negocios de la Francia, tiene el honor de presentar á la Dieta general del Imperio g</t>
  </si>
  <si>
    <t>Bacigalupi, Andrés</t>
  </si>
  <si>
    <t>Andrés Bacigalupi</t>
  </si>
  <si>
    <t>itohio Perez ; y el de primer Ayudante en el segundo de Voluntario^ dé'Barcefóna al Capitán segundo D. Andrés Bacigalupi. EFRey se ha servido conferir Compañía en el Regimiento de infantería de Zaragoza al Teniente, graduado de Capitán, D. Juan Cebollino; y Subtenencia de bandera en el de :Soria al</t>
  </si>
  <si>
    <t>Bacmétieff, General</t>
  </si>
  <si>
    <t>General Bacmétieff</t>
  </si>
  <si>
    <t>18 de septiembre de 1804</t>
  </si>
  <si>
    <t>corriente ha desembarcado en nuestro puerto un regimiento de infantería rusa, de que es Coronel el General Bacmétieff, y un regimiento de cazadores , mandado por el Príncipe Vasenski. TURQUIA. Constantinopía 21 de Julio. Los alborotos que reynan en Siria son mas serios de lo que se creía. Mientra</t>
  </si>
  <si>
    <t>Badin, Luis Miguel</t>
  </si>
  <si>
    <t>Luis Miguel Badin</t>
  </si>
  <si>
    <t>lla de plata al hijo de un pescador de Elseneur por haber salvado la vida, hace 8 meses, al hijo de D. Luis Miguel Badin, Cónsul español. ALEMANIA. Semlin (T de Julio. El 27 de Junio, época notable para los servios , hizo 416 años que perdieron sus Príncipes, y pasaron á la dominación de los turcos.</t>
  </si>
  <si>
    <t>Baeckmann</t>
  </si>
  <si>
    <t>escritos importantes;” _^Jsn la junta siguiente recibió la Sociedad en el número de sus miembros á Mr. Baeckmann en señal del particular aprecio que hace de este sabio. &gt; • GRAN BRETAÑA. Londres 26 de Diciembre de 1803. Si atendemos á la ciase de preparativos que actualmente se hacen en 'las c</t>
  </si>
  <si>
    <t>Baena, Pedro</t>
  </si>
  <si>
    <t>Pedro Baena</t>
  </si>
  <si>
    <t>Ayudantía en el Regimiento de infantería de América al Teniente de granaderos, graduado de Capitán, Don Pedro Baena; y Subtenencias en el mismo Cuerpo, en el del Rey y en el de la Princesa á los Sargentos primeros D. Juan Tena, D. Simón de Mareos y D. Vicente GH; y en los de la Reyna, Valencia</t>
  </si>
  <si>
    <t>Baeza, Antonio</t>
  </si>
  <si>
    <t>Antonio Baeza</t>
  </si>
  <si>
    <t>25 de mayo de 1804</t>
  </si>
  <si>
    <t>imero y tercero de cazadores, al Alférez D. Joaquin Santandreu, y al Capitán D. Antonio Baeza, Teniente agregado al de Olivencia, tercero de húsares. Un América. Para una Canóngía de la metropolitana de Charcas, vacante por fallecimiento de D. Pedro Josef Mansilla , se há servido S.</t>
  </si>
  <si>
    <t>Baeza, Rafael</t>
  </si>
  <si>
    <t>Rafael Baeza</t>
  </si>
  <si>
    <t>oquial de la villa de Berbegal, Diócesi de Lérida, por fallecimiento de D. Agustín Sánchez Iloyo, á D. Rafael Baeza: para otra de la misma Iglesia, vacante por muerte de D. Manuel Roclied , á D.’Antonio Torregrosa: para un Beneficio vacante en la Parroquial de S. Andrés de la ciudad de Valencia</t>
  </si>
  <si>
    <t>Baile</t>
  </si>
  <si>
    <t>5 de junio de 1804</t>
  </si>
  <si>
    <t>la provisión de los beneficios. Designan, ademas del Presidente, para miembros de este ministerio á Mr. Baile, Obispo deSeelando, á Mr. Moldenhauer, profesor de teología, y á Mr. Schlegel, profesor de leyes. La pla^a de Secretario dicen que se la darán á Mr. Rahbeck, literato distinguido—</t>
  </si>
  <si>
    <t>Bails, Benito</t>
  </si>
  <si>
    <t>Benito Bails</t>
  </si>
  <si>
    <t>ias -y-los poblados, con el método de construir cementerios y enterrar en ellos; obra publicada por D. Benito Bails : un tomo en 8.® marquilla, á 1 2 rs. en pasta. crzcTratado de la conservación de la salud-de los pueblos, y consideraciones sobre los terremotos, traducido por el mismo autor: se</t>
  </si>
  <si>
    <t>Baiviani, Cayetano</t>
  </si>
  <si>
    <t>Cayetano Baiviani</t>
  </si>
  <si>
    <t>guera; Tenencia al Subteniente de granaderos D. Mariano Ceverio, y Subtenencia de bandera al Cadete D. Cayetano Baiviani: en el de Extremadura Tenencia al Subteniente de granaderos D, Antonio Zafra; y Subtenencia de bandera al Cadete D. Pedro Diaz de Arjona: en el de Málaga Tenencia al Subteniente D</t>
  </si>
  <si>
    <t>Baixauli, Vicente</t>
  </si>
  <si>
    <t>Vicente Baixauli</t>
  </si>
  <si>
    <t>landa á D. Inocencio!Santobety: en el de Cantabria á D. Francisco Aparicio*, en el de IpP.iincesa á D. Vicente Baixauli: en el de Extremadura á D. Antonio Sánchez: en el de Borbon á D. Matias Ximenez; y en el batallón de infantería ligera de Voluntarios de Valencia al Sargento primero de granaderos</t>
  </si>
  <si>
    <t>Balanza, Juan de Dios</t>
  </si>
  <si>
    <t>Juan de Dios Balanza</t>
  </si>
  <si>
    <t>de Rozas. En América. S. M. se ha servido nombrar para una Ración de la metropolitana de Charcas á D. Juan de Dios Balanza: para la Media-Ración que este dexa á D. Domingo Mariano Guerra, Capellán mayor y Vicario de exército en aquella ciudad: para otra de la metropolitana de México á D. Ignacio Josef</t>
  </si>
  <si>
    <t>Baldero, Manuel</t>
  </si>
  <si>
    <t>Manuel Baldero</t>
  </si>
  <si>
    <t>diócesis: para otra de la colegial de Alfaro , en el obispado de Tarazona, vacante por promoción de D. Manuel Baldero á Canongía de ella, á D. K¡colas Domínguez, Capellán de la misma ; y para el Beneficio simple servidero de la parroquial de S. Andrés de la villa de Cuellar , en el obispado de Se</t>
  </si>
  <si>
    <t>Ballesteros, Francisco</t>
  </si>
  <si>
    <t>Francisco Ballesteros</t>
  </si>
  <si>
    <t>Supl., p. 4</t>
  </si>
  <si>
    <t>.. 141-25 GUARNICION DHL NAVIO Francisco Ballesteros........... Villatobas............ .... 14*..25 S. LUIS. Francisco Olaya..............</t>
  </si>
  <si>
    <t>Ballesteros, Joaquín</t>
  </si>
  <si>
    <t>Joaquín Ballesteros</t>
  </si>
  <si>
    <t>iona esta especie de máquina tan útil'en las grandes ciudades. ESPAÑA. Padrón i6~ de Enero, Deseoso D. Joaquín Ballesteros, maestro de primeras letras por S. M. y titular de la villa del Padrón, provincia de Santiago , de manifestar por medio de unos certámenes las ventajas del método de enseñanza de</t>
  </si>
  <si>
    <t>Ballois</t>
  </si>
  <si>
    <t>as obligaciones de este alto ministerio,creyó que debía.retirarse. Ha muerto el ciud. Ballois, fundador del diario de estadística y de la sociedad de este nombre. Entre las disposiciones que deben proponerse al Senado para dar mayor solemnidad á la aber</t>
  </si>
  <si>
    <t>Balmis, Francisco Xavier</t>
  </si>
  <si>
    <t>Francisco Xavier Balmis</t>
  </si>
  <si>
    <t>ciudad de Caracas, se ha servido confirmar el nombramiento de Regidor honorario de ella, á favor de D. Francisco Xavier Balmis, Director de la expedición destinada á propagar en los dominios de Indias el beneficio de la vacuna. Por el Ministerio de Hacienda se ha comunicado, con fecha de 30 de Junio, la R</t>
  </si>
  <si>
    <t>Baltasar Cornelias</t>
  </si>
  <si>
    <t>oaquin de Toledo, D. Joaquin Leones, D. Julián Leones, D. Pedro Rato Cisneros, D. Justo Salafranca, D. Baltasar Cornelias, D. Josef Rodríguez Truxillo, D. Josef Pereyra, D. Santiago Mazarredo, D. Josef Mazarredo, D. Juan de’Vera, D. Pedro de Salazar, D. Felipe Esteller,, D. Josef del Viso, D. Jacinto</t>
  </si>
  <si>
    <t>Baltasar de Irurzun</t>
  </si>
  <si>
    <t>rvación del caballo: obra traducida del francés al castellano, y adicionada en todas sus partes por D. Baltasar de Irurzun: dos tomos en 8.° mayor, con 31 láminas, que ántes se vendían en casa de la viuda de Ibarra: se hallarán en adelante dichos tomos, que hacen la completa obra de equitación, en la</t>
  </si>
  <si>
    <t>Baltasar de Resa</t>
  </si>
  <si>
    <t>vido nombrar para la Canongía Penitenciaria de la Catedral de'Tudela,- vacante por-fallecimiento de D. Baltasar de Resa, á Di Rá’monBnrgaleta, Racionero Vicario de la misma: para una Ración de*;l*a Catedral de:Málaga, vacante por niuerte de D» Francisco Panudo Criado, á D. Francisco Rafael de Eslav</t>
  </si>
  <si>
    <t>Baltasar Echavarría</t>
  </si>
  <si>
    <t>os regimientos de infantería de Granada, Toledo, Ultonia y Voluntarios de la Corona, a l*os Cadetes D. Baltasar Echavarría, D. Pedro Pablo Quiroga, D. Miguel Marqueli y Rusell y D. Luis del Corral; y en el expresado de Ultonia al Sargento primero D. Miguel Sola. En los regimientos de caballería de lín</t>
  </si>
  <si>
    <t>Baltasar Fernández</t>
  </si>
  <si>
    <t>o dé Hacienda de“ Menorca: para este Ministerio, con igual grado de Ordenador , al Comisario Guerra D. Baltasar Fernandez ; y para la</t>
  </si>
  <si>
    <t>Baltasar Ferrer</t>
  </si>
  <si>
    <t>45 &amp; tos al Brigadier D. Baltasar Ferrer, gefé de escuela del departamento de artillería de Segovia, Director de estudios , y Capitán primero de la compañía de caballeros Cadetes. S. M. ha promovido á Brigadier de infant</t>
  </si>
  <si>
    <t>Baltasar Jai</t>
  </si>
  <si>
    <t>rroquia de Luna, en la propia diócesis de Zaragoza, vacante por muerte de D. Rudesíndo Domínguez, á D. Baltasar Jai. El Rey se ha servido conferir Comoañía ^ en el regimiento _ de infante_ ría del Príncipe al Teniente de granaderos, graduado de Capitán, D. Felipe Cerio: Tenencia en el de Suizos</t>
  </si>
  <si>
    <t>Baltasar Jal</t>
  </si>
  <si>
    <t>otro de la parroquia de Luna, de la misma diócesis, por fallecimiento de D. Rudesindo Domínguez, á D. Baltasar Jal: para otro de la catedral de Gerona, vacante por muerte de D. Francisco Püig, á D. Mariano Mascorü; y para otro de la misma catedral de Gerona, vacante por fallecimiento de D. Ped</t>
  </si>
  <si>
    <t>Baltasar Jalón</t>
  </si>
  <si>
    <t>es en el de cazadores de Pavía al Cadete D. Antonio Diez de Ribera; y en el de húsares de Numanciaá D. Baltasar Jalón, Cadete del de húsares Españoles. En los Regimientos Provinciales ha conferido el Rey el empleo de CoroneL del de Segovia al Marques de Bellisca, Teniente Coronel agregado al de A</t>
  </si>
  <si>
    <t>Baltasar Ladrón de Guevara</t>
  </si>
  <si>
    <t>rvido nombrar para la plaza de Regente de la Real Audiencia de México, vacante por fallecimiento de D. Baltasar Ladrón de Guevara , á D. Cosme de Mier y Trespalacios, Oidor Decano de la misma Audiencia. Desde i.° del próximo Diciembre se recibirán en la Tesorería mayor y en las de Exército las acciones del R</t>
  </si>
  <si>
    <t>Baltasar Ortiz, Pedro</t>
  </si>
  <si>
    <t>Pedro Baltasar Ortiz</t>
  </si>
  <si>
    <t>se ha servido nombrar para una Media-Ración de la catedral de Cuenca, vacante por fallecimiento de D. Pedro Baltasar Ortiz,á Don Antonio V illora y Cisneros: para el Beneficio de la parroquia de Santiago de Folgueras, diócesis de Oviedo , por muerte de D. Juan Salazar y Poriier, á D. Manuel de Riega:</t>
  </si>
  <si>
    <t>Banakowskjt, General</t>
  </si>
  <si>
    <t>General Banakowskjt</t>
  </si>
  <si>
    <t>sencia del Consejero de Estaco Kermes, Gobernador civil, y del Vice Gobernador Steinbell, del Mayor General Banakowskjt, del Mayor Kutkin, del Rector del Seminario ce S. Miguel, y de un numeroso concurso, compuesto de la nobleza, clero, comercio y demas clases: ántes de dar principio al examen, pro</t>
  </si>
  <si>
    <t>Bandín, Capitán</t>
  </si>
  <si>
    <t>Capitán Bandín</t>
  </si>
  <si>
    <t>6 de abril de 1804</t>
  </si>
  <si>
    <t>para la isla de Francia, adonde llegó el &gt;© Termidor : reuniósele allí el Geógrafo, mandado por el Capitán Bandín. Ciento y cincuenta franceses hablan quedado en tierra para ^tornar posesión de Pondichery., en donde los .ha dexado él Almirante. Los ? tiroleses des entregaron la ciudad y los f</t>
  </si>
  <si>
    <t>cción preciosa de objetos curiosos de historia natural, y. traen 73 animales vrvoc___Por muerte del Capitán Bandín, comandante de la expedición, acaecida en la isla de Francia, ha venido mandando desde aquella isla, de donde salió en Diciembre dirimo, el Capitán de FragataMillius. Son muy satb</t>
  </si>
  <si>
    <t>Bánineti y de Juana Brangacha, Juan María</t>
  </si>
  <si>
    <t>Juan María Bánineti y de Juana Brangacha</t>
  </si>
  <si>
    <t>*43 te de Ñapóles, hijo legítimo de D. Juan María Bánineti y de Doña Juana Brangacha » el qual falleció abintestato en 5 de Octubre último, ocurran á demostrarlo con los correspondientes documentos en el término de 30 días, contados desde el presente r ante el Sr.</t>
  </si>
  <si>
    <t>Bapts, Capitán</t>
  </si>
  <si>
    <t>Capitán Bapts</t>
  </si>
  <si>
    <t>dia anterior, y aunque tiraron algunas bombas, causaron poco daño. Entonces fué quando el valeroso Capitán Bapts , queriendo castigar el desacato de los ingleses, salió al mar con su división, y dirigiéndose á las bombardas, se largaron estas. Este valeroso Capitán sufrió el fuego de una fra</t>
  </si>
  <si>
    <t>Baraguay-d’Hilliers, General</t>
  </si>
  <si>
    <t>General Baraguay-d’Hilliers</t>
  </si>
  <si>
    <t>anaderos de la reserva á las órdenes del General Junot; los oficiales y dragones de la división del General Baraguay-d’Hilliers, y de la del General Klein, que hacen parte de la Legión de honor, para situarse en los campamentos preparados por orden del Mariscal de Soult. El 15 , al ponerse el sol, hará una</t>
  </si>
  <si>
    <t>Barba, Francisco</t>
  </si>
  <si>
    <t>Francisco Barba</t>
  </si>
  <si>
    <t>raduado de Teniente Coronel , Don Josef de Velasco: Tenencias en el mismo Cuerpo á los Subtenientes Don Francisco Barba y D. Bruno Gómez; y Subtenencias de bandera en el de</t>
  </si>
  <si>
    <t>Barbaza, Fernando</t>
  </si>
  <si>
    <t>Fernando Barbaza</t>
  </si>
  <si>
    <t>: á Tenientes de fusileros de los de Sígiienza, Ciudad-Rodrigo, Granada y Cuenca á los Subtenientes D. Fernando Barbaza, D. Francisco Sta. Cruz, D. Blas de Pinar y D. Miguel de Córdoba: á Subtenientes de granaderos de los de Badajoz y Lorca, á los de fusileros D. Francisco Mercado y D. Josef Genant</t>
  </si>
  <si>
    <t>Barceló, Francisco</t>
  </si>
  <si>
    <t>Francisco Barceló</t>
  </si>
  <si>
    <t>. Alonso Illlaipa, D. Josef León, D. Ildefonso Fonseca , D. Domingo Cándano, D. Jjjnsjw (Castañeda, D. Francisco Barceló, D. Juan Varona, D. Josef IVÍo ota lleda , D. Joaquín Camacho, Don Juan Martínez, D. Ramón Amaya , E3. JflosefSuarez , D. Pedro del Barco, D. Pedro Nuñez, D. Manuel Kcdriggn§^&lt;» D</t>
  </si>
  <si>
    <t>Bardaxi de Azara, Dionisio</t>
  </si>
  <si>
    <t>Dionisio Bardaxi de Azara</t>
  </si>
  <si>
    <t>uir á las miras de S. M. I. en las mejoras de todo el Imperio ruso. S. S. s.e ha dignado conferir á D. Dionisio Bardaxi de Azara, Auditor de Rota, pt&gt;r los Rey-nos de la Corona de Aragón, el Arcedianato de la ciudad de Truxiilo, con ia reserva de 400 ducados de pensión á favor ¡de D. Francisco-de Cosío y Cá</t>
  </si>
  <si>
    <t>Barina, Rafael</t>
  </si>
  <si>
    <t>Rafael Barina</t>
  </si>
  <si>
    <t>bulante de Rutíman al Teniente D. Francisco Jacobo Neíf: y en el de Traxler Tenencia al Subteniente D. Rafael Barina; y Subtenencias de granaderos á los Subtenientes D. Luis Kasly y D. Xav ier Traxler. En América. En atención á la aptitud y méritos literarios de Don Francisco Bazo y Berri, Aboga</t>
  </si>
  <si>
    <t>Barnet, General</t>
  </si>
  <si>
    <t>General Barnet</t>
  </si>
  <si>
    <t>o prueba mas bien que se han aumentado los efectos del contagio. Ha muerto el segundo Comandante el General Barnet, y otras varias personas distinguidas. Ha llegado á Yarmouth Monsieur con el título de Conde de Ponthieu , acompañado del Caballero Puysegur y el Abad de la Till. En el mismo buqu</t>
  </si>
  <si>
    <t>Barón de Armfeldt, General</t>
  </si>
  <si>
    <t>General Barón de Armfeldt</t>
  </si>
  <si>
    <t>da en su obsequio; y en todo le ha manifestado S. M. profesarle una estimación muy particular.__ El General Barón de Armfeldt estaba disponiendo sus negocios para volverse á Viena, y proseguir en su empleo de Embaxador extraordinario del Rey de Suecia. Viena $ de Octubre. Para el 12 del corriente se aguard</t>
  </si>
  <si>
    <t>Barón de Broedy, Teniente General</t>
  </si>
  <si>
    <t>Teniente General Barón de Broedy</t>
  </si>
  <si>
    <t>volverán al goce de ella en el caso de enviudar segunda y aun tercera vez. -Escriben de Zara que el Teniente General Barón de Broedy, Gobernador de la Dalmacia y de la Albania, llegó allí á bordo de la Diana, y fué recibido con saivas de toda la artillería; habian salido á recibirle 100 barcos adornados con gus</t>
  </si>
  <si>
    <t>Barón de Cedestrom, General</t>
  </si>
  <si>
    <t>General Barón de Cedestrom</t>
  </si>
  <si>
    <t>del corriente. El Barón de Armfelt se hallaba todavía el día 9 en Stralsund con SS. MM. Suecas. El General Barón de Cedestrom habia salido algunos dias antes, para Stockolmo. Parece que SS.MM. no se detendrán ya muchos dias en aquella ciudad. El estado actual del exércíto Prusiano es como sigue: 60 Regim</t>
  </si>
  <si>
    <t>Barral</t>
  </si>
  <si>
    <t>ión del Colegio Electoral del Iser se ha presentado ayer al primer Cónsul, y el ciud. Barral, que la presidia, hizo un corto discurso , tributando al magistrado supremo el homenage de aquel departamento. i!; . : v ; • '. : ' ; Ni el Monitor ni los "pap</t>
  </si>
  <si>
    <t>Barrantes, Fernando</t>
  </si>
  <si>
    <t>Fernando Barrantes</t>
  </si>
  <si>
    <t>En América. S. M. se ha dignado promover á Capitanes en el Regimiento de infantería Real de Lima á D. Fernando Barrantes y D. Carlos Moncayo, Tenientes del propio Cuerpo; á Teniente de granaderos al de fusileros D. Josef Zapata; á Tenientes de fusileros á D. Josef López y D. Juan Ceiis, Subtenientes del</t>
  </si>
  <si>
    <t>Barraycua, Francisco</t>
  </si>
  <si>
    <t>Francisco Barraycua</t>
  </si>
  <si>
    <t>xtraordinario de conducta fuéron e! seminarista -mayor D. Iñigo Ortes de Vélasco , el. gefe de sala D. Francisco Barraycua , el gefé cíe trozo Don lúeas de VeJasca, Cadete del batallón de Voluntarios de Navarra * y el semina* ri'sta D. Josef Martínez. ; / ;i , En la gazeta núm. 23 , pág. 261 , lín*. n</t>
  </si>
  <si>
    <t>Barros, Vicente</t>
  </si>
  <si>
    <t>Vicente Barros</t>
  </si>
  <si>
    <t>ido nombrar Sargento mayor del regimiento de dragones Provinciales del Príncipe,.en Nueva-España, á D. Vicente Barros, que lo era del de dragones Provinciales de la Rey na-; y para la resulta</t>
  </si>
  <si>
    <t>Bartels</t>
  </si>
  <si>
    <t>Consejero &amp;c. Todas estas noticias necesitan de confirmación. Se sabe de positivo que ha fallecido Mr. Bartels , Gobernador de las posesiones Holandesas de la costa de Guinea. El General en gefe ha mandado aumentar los puestos establecidos á ciertas distancias por la costa, para impedir to</t>
  </si>
  <si>
    <t>Barthe</t>
  </si>
  <si>
    <t>8io suyo, escrita eft fraftces pot Mr. Barthe, de la Academia de bellas letras de Marsella. Esta es la hetoida vii de la colección que se está publicando, y la primera del tomo t.° La obra constará de dos tomos. En esta carta</t>
  </si>
  <si>
    <t>Barthel</t>
  </si>
  <si>
    <t>ia es de muy poca importancia___ La acta de acusación dice también que Moreau escribió esta carta á Mr. Barthel emi, porque la mañana del 18 tuvo noticia, por medio del telégrafo, de las providencias que habia tomado el Directorio. Esto es un error; y no es el único que se encuentra en la act</t>
  </si>
  <si>
    <t>Barthelemí</t>
  </si>
  <si>
    <t>simular, la repugnancia que tenia para dar este paso: ,,Bien conoce Vra. mi modo de pensar, decia á Mr. Barthelemí; y podrá juzgar quanto me habrá costado hacer esta confianza.”__ La acta de acusación da á esta carta la fecha del 19 Fructidor : este error puede provenir de lo mal escrito de lo</t>
  </si>
  <si>
    <t>Barton-Smith</t>
  </si>
  <si>
    <t>cla de las tierras, de los insectos perjudiciales al trigo, y otros puntos de igual importancia. El Doctor Barton-Smith, profesor de Botánica en la Universidad de Filadelfia, ha publicado los elementos de esta ciencia, con arreglo al sistema de Lin— neo, modificado, con exempios tomados de las plan</t>
  </si>
  <si>
    <t>Bas, Joaquín</t>
  </si>
  <si>
    <t>Joaquín Bas</t>
  </si>
  <si>
    <t>l Rey, Valencia, Navarra, Uitonia, América y Nápoles, á los Subtenientes D. Josef María de Andrade, Don Joaquín Bas, D. Juan Yañez, D. Mateo Collinghs,D. Josef Peña Carrillo, D. Antonio Designi y D. Juan Medina: y Subtenencias de bandera en los de España, Burgos, Uitonia y Borbon , á los Sargen</t>
  </si>
  <si>
    <t>Basa, Joaquín</t>
  </si>
  <si>
    <t>Joaquín Basa</t>
  </si>
  <si>
    <t>la parroquia de Fuentes de Ebro, diócesis de Zaragoza, vacante por muerte de D. Antonio Larrayad, á Don Joaquín Basa; para un Beneficio, llamado Refitolero, de la catedral de Gercna, vacante por fallecimiento de D. Bartolomé Roca, y por no haberle admitido D. Josef Bernich, que estaba nombrado p</t>
  </si>
  <si>
    <t>Baschmetieíf, General</t>
  </si>
  <si>
    <t>General Baschmetieíf</t>
  </si>
  <si>
    <t>erta. Ha recibido orden nuestra República para levantar un batallón, compuesto de 700 Albancses. El General Baschmetieíf, Mr. Sarokin, el Príncipe Dologouki, y el Teniente Coronel Romano han ido á visitar á SantAngelo y demas puestos de la isla , susceptibles de ser fortificados. Cadi-Bey está manda</t>
  </si>
  <si>
    <t>Basedas, Francisco</t>
  </si>
  <si>
    <t>Francisco Basedas</t>
  </si>
  <si>
    <t>Toledo,-, para un Beneficio de la parroquia de' Figueras, diócesis de Gerona, vacante por muerte de D. Francisco Basedas, á D. Francisco Calcina; y para otro Beneficio de la parroquia de Tordera, en la propia dmces.s .vacante por fallecimiento de D. Antonio Campderas, a B. Francisco Manellay Surroca</t>
  </si>
  <si>
    <t>untalt; y para otro de la parroquia de Figueras, en la propia diócesi, vacante por fallecimiento de D. Francisco Basedas, á D. Francisco Calcina. En la Compañía Americana del Real cuerpo de Guardias de Corps se ha servido S. M. promover á Exento de número al Supernumerario Don Josef Azcutia; y á Sup</t>
  </si>
  <si>
    <t>Bastardo Cisneros, Francisco</t>
  </si>
  <si>
    <t>Francisco Bastardo Cisneros</t>
  </si>
  <si>
    <t>gimientos Provinciales ha promovido S. M. á Teniente de granaderos del de Bujalance al de fusileros D. Francisco Bastardo Cisneros: á Tenientes de fusileros de los de Chinchilla, Lorca y Sigüenza á los Subtenientes IX Francisco Breva y Salvafuna, D-. Felipe Mellado y D. Isidro Alvarez de Lara ; y á Subtenient</t>
  </si>
  <si>
    <t>Bataller y Costa, Pedro</t>
  </si>
  <si>
    <t>Pedro Bataller y Costa</t>
  </si>
  <si>
    <t>ra de la Colé-* gjal de Besalu, en el Obispado de Gerona , vacante por muerte de Don Josef ftelf, á D. Pedro Bataller y Costa. El Rey se ha servido conferir Compañía en el Regimiento de infantería de Sevilla al Ayudante, graduado de Capitán, D. Miguel del Castillo: Tenencias en el de Valencia á los Subte</t>
  </si>
  <si>
    <t>Bataller, Miguel</t>
  </si>
  <si>
    <t>Miguel Bataller</t>
  </si>
  <si>
    <t>á D. Manuel de Velasco, electo para la de Filipinas: para otra de Oidor de la Audiencia de México á D. Miguel Bataller; y para la de Alcalde del crimen de la misma, que este dexa, á D. Jacobo de Villaurrutia, Oidor que era de la de Guatemala. También se ha servido S. M. nombrar para Tenientes Gobe</t>
  </si>
  <si>
    <t>Batemburg, Coronel</t>
  </si>
  <si>
    <t>Coronel Batemburg</t>
  </si>
  <si>
    <t>r recibió el Gobierno de estado los partes de oficio del Teniente General Berranger, y del Teniente Coronel Batemburg , el uno Gobernador general de la colonia de Surinam, y el otro Comandante de las tropas de la colonia. Estos pliegos, despachados de Paramaribo, el 15 de Mayo, tratan de la capit</t>
  </si>
  <si>
    <t>Batlles, Antonio</t>
  </si>
  <si>
    <t>Antonio Batlles</t>
  </si>
  <si>
    <t>encial de la parroquial de la villa de Prats de Rey, diócesi de Vique, vacante por fallecimiento de D. Antonio Batlles, á D. Ignacio Rodrigálvarez: para otro^ de la catedral de Gerona , llamado Epistolero, vacante por promoción de Don Buenaventura Casademont á otro de la propia iglesia, á D. Josef</t>
  </si>
  <si>
    <t>Batolomé Álvarez</t>
  </si>
  <si>
    <t>.......... 141..25 Batolomé Alvarez............. CaStro-tierra.................... 141, •25 Manuel del Campo....... Mora................................. 141..25 Jacinto M</t>
  </si>
  <si>
    <t>Batteux</t>
  </si>
  <si>
    <t>ca periódica de ciencias y artes. Contiene, la crítica1 de la traducción del curso de literatura de Mr. Batteux: discurso sobre la libertad, facilidad y utilidad del comercio interior , y el extracto de.varias obras de medicina: con este número concluye la subscripción al 8.° trimestre^ y.</t>
  </si>
  <si>
    <t>ilosóficos de la literatura, ó curso razonado de bellas letras y artes: obra escrita en francés por Mr. Batteux, de la Academia francesa: traducida, ilustrada y completada con varios suplementos, y los correspondientes apéndices sobre la literatura española, por D. Agustín García de Arrieta</t>
  </si>
  <si>
    <t>9 de noviembre de 1804</t>
  </si>
  <si>
    <t>os de la literatura, ó Curso ratonado de bellas letras y b$lias artes: obra escrita eft francés por Mr. Batteux, de la Academia Francesa; traducida al castellano, ilustrada y completada con varios suplementos, y los correspondientes apéndices sobre la literatura Española, por; D. Agustín Ga</t>
  </si>
  <si>
    <t>Battho, Pedro</t>
  </si>
  <si>
    <t>Pedro Battho</t>
  </si>
  <si>
    <t>e Santillana, todos en pasta, á D. Ramón Guizaburuaga, D. Manuel Pedro Marañon, Pedro Battho , natural de Burdeos , D. Julián de Alderete , y D. Joaquín Ferrer: se dieron á los demas certificaciones de su aplicación y aprovechamiento; quedando satisfecho el concurso de la suficienc</t>
  </si>
  <si>
    <t>Baudin, Capitán</t>
  </si>
  <si>
    <t>Capitán Baudin</t>
  </si>
  <si>
    <t>o sobre las causas de la ruina y elevación de los imperios.” Uno de los buques de la expedición del Capitán Baudin ha llegado al puerto de Lorieni, procedente de la isla de Francia, con el destino de conducir animales vivos y plantas raras, que el gobierno se empeña en connaturalizar en nuestr</t>
  </si>
  <si>
    <t>Bausa, Manuel</t>
  </si>
  <si>
    <t>Manuel Bausa</t>
  </si>
  <si>
    <t>e del ñxo de Ceuta D. Miguel Duarte; y en el de la Princesa al Cadete de la Compañía íixa del Peñón D. Manuel Bausa. En el Regimiento de infantería de Córdoba se ha servido el Rey promover á Teniente al Subteniente D. Mariano Araiz. ' La feria de la villa de Híjar, en Aragón, denominada de S. B</t>
  </si>
  <si>
    <t>Bávaro de Aretin, Barón</t>
  </si>
  <si>
    <t>Barón Bávaro de Aretin</t>
  </si>
  <si>
    <t>con el objeto de hacer pruebas de la mnemónica , ó arte de la memoria, inventado últimamente por el Barón Bávaro de Aretin. Mr. Duchet ha abierto una subscripción : luego que esté completa ^revelará su secreto, que, según él dice, no hay cosa mas sencilla en el mundo. En efecto, se cuenta que en su vi</t>
  </si>
  <si>
    <t>Baxá Husseim, Capitán</t>
  </si>
  <si>
    <t>Capitán Baxá Husseim</t>
  </si>
  <si>
    <t>adía y deí* enfreno de los militares &amp;c. TURQUIA. t Constantinopla 1.8 de Diciembre. } Ha muerto el Capitán Baxá Husseim, á quien miraban los musulmanes como el mejor amigo del Sultán. Esta circunstancia, su mérito personal, y la necesidad que había de él en la presente crisis del Imperio, han hecho</t>
  </si>
  <si>
    <t>Bayer, Domingo</t>
  </si>
  <si>
    <t>Domingo Bayer</t>
  </si>
  <si>
    <t>de segunda clase, y todas en el territorio de la Orden de Santiago. . También ha concedido S. M. á D. Domingo Bayer, Oidor de la Audiencia de Valencia, honores de Alcalde de su Real casa y corte. En atención á la avanzada edad y achaques, méritos y servicios de D. Julián Ozcariz y Arce , Minist</t>
  </si>
  <si>
    <t>Bayeu, Francisco</t>
  </si>
  <si>
    <t>Francisco Bayeu</t>
  </si>
  <si>
    <t>Gómez, calle de las Carretas. Estampa en medio pliego de marca mayor, que representa el retrato de Don Francisco Bayeu, primer Pintor de cámara que fué de S. M., copia del excelente quadro pintado por D. Francisco Goya, uno de los dos actuales primeros Pintores de S. M., dibuxada por D. Asensio Ch</t>
  </si>
  <si>
    <t>Bayon, Ángel</t>
  </si>
  <si>
    <t>Ángel Bayon</t>
  </si>
  <si>
    <t>. Alexandro San Millan; y en el de las Ordenes Militares Compañía al Ayudante, graduado de Capitán, D. Angel Bayon, y Tenencia al Subteniente de granaderos D. Casimiro Bastarrachea. El Rey se ha servido conferir la Sargentía mayor del Regimiento de infantería de León al Capitán de granaderos d</t>
  </si>
  <si>
    <t>Bayon, Juan</t>
  </si>
  <si>
    <t>Juan Bayon</t>
  </si>
  <si>
    <t>o de infantería de las Ordenes Militares Ayudantía al Teniente de granaderos , graduado de Capitán, D. Juan Bayon; y en el de Asturias Subtenencia de bandera al Cadete D. Vicente Pardo. S. M. se ha dignado nombrar Subteniente de bandera del primer batallón de Voluntarios de Cataluña á D. Rafa</t>
  </si>
  <si>
    <t>Compañía en el Regimiento de infantería de las Ordenes Militares al Ayudante, graduado de Capitán , D. Juan Bayon: Tenencia en el de Málaga al Subteniente D. Juan Cabanillas; y Subtenencias de bandera en el propio Cuerpo al Sargento primero L&gt;. Manuel Mayor: en el de Navarra al Cadete del de</t>
  </si>
  <si>
    <t>Bayon, Pedro</t>
  </si>
  <si>
    <t>Pedro Bayon</t>
  </si>
  <si>
    <t>ido nombrar para el Deanato, primera silla de la Catedral de Palencia, vacante por fallecimiento de D. Pedro Bayon, á D. Francisco Ramón del Vigo, Canónigo de la misma: para una Ración de la Colegial de Soria, en la Diócesi de Osma, vacante por promoción de D. luán Antonio Ruiz á Canongía de e</t>
  </si>
  <si>
    <t>Bayony Girón, Nicolás</t>
  </si>
  <si>
    <t>Nicolás Bayony Girón</t>
  </si>
  <si>
    <t>sis: para el Préstamo del lugar de Cianame de bayago, diócesis de Zamora, vacante por promoción vic D. Nicolás Bayony Girón á Canongía de aquella catedral, a D. Domingo González Alonso: para el Beneficio simple de Regla de Corlas por fallecímieruo de D. Pedro de la Santa, y para el de Arles, por muerte</t>
  </si>
  <si>
    <t>Bayot, Joaquín María</t>
  </si>
  <si>
    <t>Joaquín María Bayot</t>
  </si>
  <si>
    <t>Josef Dimalanta; y á Subtenientes de bandera á los Cadetes D. Josef Aguirre, D. Josef María Bayot, D. Joaquín María Bayot y D. Manuel Vicente Corrales. En el de Milicias disciplinadas de infantería deda Havana ha promovido S. M. á Capitanes á los Subtenientes de granaderos D. Mateo de Cárdenas y D. Luis</t>
  </si>
  <si>
    <t>Bazo y Berri, Francisco</t>
  </si>
  <si>
    <t>Francisco Bazo y Berri</t>
  </si>
  <si>
    <t>es D. Luis Kasly y D. Xav ier Traxler. En América. En atención á la aptitud y méritos literarios de Don Francisco Bazo y Berri, Abogado de la Chancillería de Granada, ha venido el Rey en nombrarle para la plaza de Oidor, vacante en la Audiencia de Chile, por fallecimiento de D. Francisco Tadeo Diez de Med</t>
  </si>
  <si>
    <t>Becerra, Diego</t>
  </si>
  <si>
    <t>Diego Becerra</t>
  </si>
  <si>
    <t>o el Rey promover á Tenientes á ios Subtenientes dé granaderos de los mismos cuerpos D. Josef Muro, D. Diego Becerra y D. Luis Perez de Ribera. ; S. M. ha nombrado Maestro Armero examinador de la Real fábrica de Placencia á D. Andrés Alberdí; y Armero de artiLLería de la plaza de Jaca á Domingo Sala</t>
  </si>
  <si>
    <t>Becerra, Fernando</t>
  </si>
  <si>
    <t>Fernando Becerra</t>
  </si>
  <si>
    <t>te de Lago, D. Pedro Landazuri, D. Joaquín de Soroa, D. Adriinti.Morquecho, D. Bartolomé Arguelles, D. Fernando Becerra, D. Rafkl Bovadillo, D. Josef Mendivil, I). Antonio Saavedra, D. Vicente Vallijcel, D. Josef Primo de Ribera,</t>
  </si>
  <si>
    <t>Becerra, Joaquín</t>
  </si>
  <si>
    <t>Joaquín Becerra</t>
  </si>
  <si>
    <t>esa, se ha servido el Rey conceder Tenencias á los Subtenientes de granaderos de los mismos cuerpos D. Joaquín Becerra, D. Rarrion-de Lara, D. Francisco de Eguia y D. Guillelmo de Luna; y en el expresado de Irlanda, Capellanía á Fr. Juan de S. Rafael, presbítero religioso Carmelita descalzo. El Re</t>
  </si>
  <si>
    <t>Bedoya, Francisco</t>
  </si>
  <si>
    <t>Francisco Bedoya</t>
  </si>
  <si>
    <t>co Fullana y D. Josef Socas; y por Subtenientes de las mismas á los Sargentos del tercer regimiento D. Francisco Bedoya y -D. Manuel Fariñas. Igualmente ha conferido el Rey Compañía en el regimiento de caballería de Almansa, tercero de cazadores, al Capitán D. Josef María Roxas, Ayudante del propio c</t>
  </si>
  <si>
    <t>Beecar, Miguel</t>
  </si>
  <si>
    <t>Miguel Beecar</t>
  </si>
  <si>
    <t>vido et Rey conferir el empleo de Teniente Coronel ai Sargento mayor, graduado de Teniente Coronel, D. Miguel Beecar. En América. En ei batallen de infantería fixo de Veracruz se ha servido el Rey promover á Capítan al Ayudante primero D. Josef Sierra; á Ayudante primero al Teniente de cazadores</t>
  </si>
  <si>
    <t>Begué de Presle</t>
  </si>
  <si>
    <t>que íes importa evitar para mantenerse con buena salud y prolongar la vida: escrito en francés por Mr. Begué de Presle : traducido ál castellano por D. Félix Galisteo y Xiorro, profesor de cirugía^ Se hallará en la librería de Fernandez , freáá las gradas de S. Felipe. ‘ • • Tratado de las enferme</t>
  </si>
  <si>
    <t>Belgrano, Joseph Gregorio</t>
  </si>
  <si>
    <t>Joseph Gregorio Belgrano</t>
  </si>
  <si>
    <t>o regimiento. Eii América. S. M. Se ha dignado nombrar Ayudante mayor de la plaza de Buenos-Ayres á D. Joseph Gregorio Belgrano, Capitán del regimiento de Milicias disciplinadas de voluntarios de caballería de Buenos-Ayres. En el discurso de un ano contado desde i.°de DiciembrC de 1802 has-; ta fin de Novi</t>
  </si>
  <si>
    <t>Bellavene, General</t>
  </si>
  <si>
    <t>General Bellavene</t>
  </si>
  <si>
    <t>es , y ha quedado muy contento con la instrucción que se da en aquel colegio, á cuyo comandante, el General Bellavene, y á los demas oficiales» sé lo na manifestado con suma bondad. ESPAÑA. Madrid 20 de Julio, Con motivo del fallecimiento de la Sra. Archiduquesa María Amalia, Duquesa viuda de Par</t>
  </si>
  <si>
    <t>Bellegarde, General</t>
  </si>
  <si>
    <t>General Bellegarde</t>
  </si>
  <si>
    <t>9§4 siderablemente,’ y que 3 6 4® hombres iban á embarcarse para la Dai• -fliacia. Se cree que el General Bellegarde mandará en gefe las provincias ¿Austríacas de Albania y de Dalmacia. Si esto se verifica, será una prueba sin réplica de que el; Austria opina que debe dar su atención á todo quan</t>
  </si>
  <si>
    <t>Belluga, Cardenal</t>
  </si>
  <si>
    <t>Cardenal Belluga</t>
  </si>
  <si>
    <t>25 de diciembre de 1804</t>
  </si>
  <si>
    <t>y Ramírez. Habiéndose mandado por el Señor Juez Protector de las obras pías, que fundó el Emo. Sr. Cardenal Belluga, poner en execucion la entrada de dos Monjas en el convento de Mercenarias Nazarenas Agustinas Descalzas de la ciudad de Motril, se avisa á todas las consanguíneas de dicho Emo. S</t>
  </si>
  <si>
    <t>Belluomini</t>
  </si>
  <si>
    <t>ción helvética; el Barón de Pappenheim, Ministro plenipotenciario del Landgrave de Hesse-Darmstadt; Mr. Belluomini, Enviado extraordinario de la Pvepúbliea de Lúea; y Mr. Abel, Ministro residente de. Jas Ciudades anseáticas.</t>
  </si>
  <si>
    <t>Beltran, Alexandro Bernardo</t>
  </si>
  <si>
    <t>Alexandro Bernardo Beltran</t>
  </si>
  <si>
    <t>con dimisión de la Media-Ración que obtiene en la catedral de Sigüenza; y para esta Media-Ración á D. Alexandro Bernardo Beltran. El Rey se ha servido conferir Compañía en el regimiento de infantería de Mallorca al Capitán D. Benjamín Cayetano de Alcocer, Teniente de granaderos del mismo cuerpo. En las Comp</t>
  </si>
  <si>
    <t>do, á D. Quintín de Subi‘ranas: para la Medía-Ración, que este dexa, de la catedral de Sigiíenza x 'D. Alexandro Bernardo Beltran: para el Beneficio simple servidero de la. parroquia de S. Miguel de Andujar, diócesis de Jaén , vacante por fallecimiento de D. Manuel Mariano Blasco de Orozco, á D. Pedro. Izqui</t>
  </si>
  <si>
    <t>Benache, Juan Bautista</t>
  </si>
  <si>
    <t>Juan Bautista Benache</t>
  </si>
  <si>
    <t>Caballero Page D. Francisco de Unzaga; y Tenencias en los de la Corona y Borbon á Los Subtenientes D. Juan Bautista Benache y D. Antonio Noaylles. En el Real cuerpo de Artillería se ha servido el Rey promover á Capitanes primeros á los Capitanes segundos D. Jesualdo López Sahajosa , D. Antonio Miralles , D</t>
  </si>
  <si>
    <t>Benavides, Antonio</t>
  </si>
  <si>
    <t>Antonio Benavides</t>
  </si>
  <si>
    <t>a promovido el Rey á Coronel á D. Manuel Pueyo ^Teniente Coronel; á este empleo al Coronel graduado D. Antonio Benavides , Sargento mayor de brigada; á este á D. Juan de Retz , Capitán primero; á este á D. Simón Treviila, Capitán segundo; y á este al Teniente I). Nicolás Verdejo. Igualmente ha confe</t>
  </si>
  <si>
    <t>Benet, Pedro</t>
  </si>
  <si>
    <t>Pedro Benet</t>
  </si>
  <si>
    <t>ión de S. Bartolomé, unido al de S. Juan Bautista y Evangelista, por muerte de D. Josef Mesalles, á D. Pedro Benet: para otro de la Catedral de Tortosa, vacante por fallecimiento de D. Bartolomé Pallares, á D. Buenaventura Rovira. El Rey se ha servido conferir Compañía en el regimiento de infa</t>
  </si>
  <si>
    <t>Bengoechea, Pedro</t>
  </si>
  <si>
    <t>Pedro Bengoechea</t>
  </si>
  <si>
    <t>V- , y si fuese máquina pagaré una aparte..—El que aspire á este premio, avisará en la librería de D. Pedro Bengoechea, calle de los Jardines , en donde se le dará noticia del sugeto que ofrece el premio, y de quien ha de juzgar sí lo merece, siempre que dé á conocer que no lo hace por pura curios</t>
  </si>
  <si>
    <t>Benisia, Manuel</t>
  </si>
  <si>
    <t>Manuel Benisia</t>
  </si>
  <si>
    <t>mérica. El Rey se ha servido conferir la Tenencia Coronela del regimiento de infantería de México á D. Manuel Benisia, Sargento mayor del de infantería de Nueva España, graduado de Teniente Coronel. Asimismo se ha servido S. M. conferir los empleos de Teniente de Rey -de Caracas , Cabo subalterno</t>
  </si>
  <si>
    <t>Benisia, María</t>
  </si>
  <si>
    <t>María Benisia</t>
  </si>
  <si>
    <t>orte y costura de camisa, con objeto de promover su educación. Examinadas sus labores por las Sras. Doña María Benisia, Doña Josefa Perez y Doña Bernarda Lon, Socias de mérito, á las quales se les presentáron con sus respectivos números, sin manifestar el nombre de las interesadas, se procedió, se</t>
  </si>
  <si>
    <t>Benjamín Cayetano de Alcocer</t>
  </si>
  <si>
    <t>vido conferir Compañía en el regimiento de infantería de Mallorca al Capitán D. Benjamín Cayetano de Alcocer, Teniente de granaderos del mismo cuerpo. En las Compañías fixas de Artillería de la plaza de Ceuta se ha servido S. M. promover á Capitán primero al Capitán segundo y Ayudante mayor D. Jos</t>
  </si>
  <si>
    <t>Benjamín Travers</t>
  </si>
  <si>
    <t>s médicos protectores de la Sociedad. Concluida la comida, y después de brindar á la salud del Rey, Mr. Benjamín Travers hizo un discurso sobre los progresos de la vacuna. Dixo qué en los 10 años anteriores al de 1802 se calculaba el numero de muertos de viruelas cada año en Londres en 1850 personas</t>
  </si>
  <si>
    <t>Bequer, Manuel</t>
  </si>
  <si>
    <t>Manuel Bequer</t>
  </si>
  <si>
    <t>a y D. Joaquín Cáceres; á Capitanes segundos á los Tenientes Don Manuel del Pino, D. Felipe Luengo, D. Manuel Bequer , D. Josef Saravia y D. Joaquín Góngora, y á Tenientes á los Subtenientes D. Bartolomé Gutiérrez, D. Francisco Campo Redondo, D. Antonio Rodriguez de Toro, D. Amadeo de Mora, D. í</t>
  </si>
  <si>
    <t>Bercial, Francisco</t>
  </si>
  <si>
    <t>Francisco Bercial</t>
  </si>
  <si>
    <t>seqiiencia se sirvió adjudicar los 3 premios may ores de á 5 5 pesos cada uno á D. Francisco Godoy, D. Francisco Bercial y D. Juan Baeza; y los 3 segundos de á 35 pesos á D. Miguel Salgado , D. Francisco Martin</t>
  </si>
  <si>
    <t>Berdeja, Juan Manuel</t>
  </si>
  <si>
    <t>Juan Manuel Berdeja</t>
  </si>
  <si>
    <t>lecimiento de D. Agustín Salinas, al Chantre D. Tomas Godoy y Vilches: para la Chantría ai Tesorero D. Juan Manuel Berdeja; y para la Tesorería á D. Matias de Terrazas, Canónigo Magistral: para la Canongía Penitenciaria de la misma Metropolitana á D. Francisco Xavier de Orihuela, Cura de S. Sebastian,</t>
  </si>
  <si>
    <t>Berguilla, Matías</t>
  </si>
  <si>
    <t>Matías Berguilla</t>
  </si>
  <si>
    <t>e ha servido promover á Capitán segundo de las Compañías ftxas de Artillería de la plaza de Ceuta á D. Matías Berguilla, Teniente de la Compañía fixa de Mallorca ; y á Teniente de esta Compañía al Subteniente de la misma D. Joaquin Escandon. En los Regimientos Provinciales ha promovido el Rey á Cap</t>
  </si>
  <si>
    <t>Berkeley Burland</t>
  </si>
  <si>
    <t>, exaltará el valor de los que se hayan manifestado tibios en la sagrada causa de la. Inglaterra.__ Mr. Berkeley Burland apoyó la propuesta, solicitando al principio de su discurso la indulgencia coii que lo oyó la Cámara, quando llamó su atención sobre las desgracias que un enemigo ambicioso y fero</t>
  </si>
  <si>
    <t>Berkeley, Almirante</t>
  </si>
  <si>
    <t>Almirante Berkeley</t>
  </si>
  <si>
    <t>uerra &amp;c., cuyo total asciende á i) 36 buques de todas clases , y concluye contra la propuesta). El Almirante Berkeley vota por ella, y habla de la utilidad de emplear barcas cañoneras___Sir Edward Pelew : „ De lo que se ha dicho en esta noche, á lo menos he recogido esta noticia importante, y es</t>
  </si>
  <si>
    <t>Bermudez, Francisco</t>
  </si>
  <si>
    <t>Francisco Bermudez</t>
  </si>
  <si>
    <t>. Luis Menendez, D. Ignacio Cincúnegui, D. Pascual Antillon, D. Joaquín Hidalgo, D. Joa'quin Lirón, D. Francisco Bermudez y D. Josef de Córdoba. En los regimientos provinciales ha promovido S. M. á Coronel del de Soria al Teniente Coronel de infantería y Capitán de granaderos del mismo cuerpo D. Juan Nav</t>
  </si>
  <si>
    <t>Bermudez, Juan</t>
  </si>
  <si>
    <t>Juan Bermudez</t>
  </si>
  <si>
    <t>mitas , Dignidad de la metropolitana de Sevilla, vacante por fallecimiento deD. Josef Cavaniiles, á D. Juan Bermudez, Rector del hospicio de Murcia: para el Arciprestazgo de Cátzadilla, Dignidad de la catedral! de Coria , por fállecimientto de D. Gaspar Gutiérrez, á D.Francisco Santíbañez de Gra</t>
  </si>
  <si>
    <t>D. Manuel de Riega: para el de la parroquia de S. Nicolás dé la ciudad de Murcia, por promoción de D. Juan Bermudez al Priorato de las Ermitas, Dignidad de la metropolitana de Sevilla, á D. Josef Guardabrazo Treviño; y para el Medio-Préstamo de Rielves, en el arzobispado de Toledo , por muerte</t>
  </si>
  <si>
    <t>Berna, Manuel</t>
  </si>
  <si>
    <t>Manuel Berna</t>
  </si>
  <si>
    <t>«i(li Martínez, D. Luis Lasqueti,Don Juan Latre, D. Tomas Urrecha, D: R.jmon Moyua, D. Ramón Torre, D. Manuel Berna!, D. Antonio Mañeáis D.Joaquín Elgueta, D. Francisco Sarachaga, D. Josef García Joves, ÍD- Miguel Valdasano, D. Josef Leyva, D. Rafael Rodríguez Guerra,,0O. llamón Ortiz Canelas,</t>
  </si>
  <si>
    <t>Bernabé López</t>
  </si>
  <si>
    <t>os......... 141.-25 Bernabé López............Valdepeñas................................. i4t. •'25 1 ornas Antonio López....... S. Cosme.......................... 141..25 Blas Campos.....................</t>
  </si>
  <si>
    <t>Bernabé María Canelo</t>
  </si>
  <si>
    <t>de Laredo, Sigtienza y Ecija á D. Bernardino González de Agüero , D. Alexo Marcos de las Muelas, y D. Bernabé María Canelo y- Benitez., El Rey se ha servido nombrar para una plaza del Consejo Real, vacante por fallecimiento del Timo. .Sr. Marques de la Hinojosa, al Sr. Don Tiburcio del Barrio: para la R</t>
  </si>
  <si>
    <t>Bernabé Otalora</t>
  </si>
  <si>
    <t>ebastián de Gorvea, y los seminaristas D. Josef Martínez, IX'Manuel Fernandez, su hermano D. Josef, D. Bernabé Otalora, D. Ambrosio Velasco y D. Manuel Cámara. Y es también digno de publicarse, que el Cadete de Reales Guardias Walonas D. Josef de Castro no perdió el derecho á este premio sino porq</t>
  </si>
  <si>
    <t>Bernabé Ruiz</t>
  </si>
  <si>
    <t>de Montevideo, D. Valero. Martínez; y.á Portaguiones al Cadete D. Silvestre Blanco, á los Sargentos D. Bernabé Ruiz y D. Francisco •Saez, el primero graduado de Alférez, y al Cadete del regimiento de Reales Guardias Españolas D. Marcos de Sobremonte. Igualmente se ha servido S. M. nombrar para una</t>
  </si>
  <si>
    <t>Bernadatte, Mariscal</t>
  </si>
  <si>
    <t>Mariscal Bernadatte</t>
  </si>
  <si>
    <t>óver 23 de Setiembre. El do'mingo, día en que se distribuyeron águilas de la Legión de honor por el Mariscal Bernadatte, todos los individuos de esta orden comieron con S. E. La Legión Hannoveriana ha salido para Francia ; y el 19 llegaron muchos conscriptos, entre ellos muchos Piamonteses. Ralisbo</t>
  </si>
  <si>
    <t>Bernadotte, General</t>
  </si>
  <si>
    <t>General Bernadotte</t>
  </si>
  <si>
    <t>sencia de la Nobleza y del Clero , y mañana le dará audiencia de despedida. Uamburgo de Octubre. El General Bernadotte ha dirigido una carta al Senado de Brema, en que le dice que son fundadas y conformes al recenso de la diputación</t>
  </si>
  <si>
    <t>Bernadotte, Mariscal</t>
  </si>
  <si>
    <t>Mariscal Bernadotte</t>
  </si>
  <si>
    <t>os le ha entregado una nota muy circunstanciada deí estado actual de la Hacienda del Electorado. El Mariscal Bernadotte habita en el palacio del Duque de Cambridge. En toda esta semana se pagarán al exército las sumas atrasadas, que ascienden á cerca de 700® pesetas. Parece que se ha dado, orden pa</t>
  </si>
  <si>
    <t>mesurado de la conducta^ verdaderamente paternal, del nuevo General en gefe del exército francés el Mariscal Bernadotte. Desde que llegó á aquel pais, procura por todos los medios posibles el alivio de los tristes habitantes: ha repartido mejor las tropas, y ha minorado las cargas. GRAN BRETAÑA. Lo</t>
  </si>
  <si>
    <t>11 de septiembre de 1804</t>
  </si>
  <si>
    <t>de Bremen, que á pesar de la resistencia que ha hecho aquella ciudad á las demandas reiteradas del Mariscal Bernadotte, al fin ha tenido que consentir en el préstamo de mas de 10 millones de reales. Francfort 10 de Agosto. En el Electorado de Badén se está ventilando en el día una qiiestíon muy im</t>
  </si>
  <si>
    <t>amarca llegó ayer aquí escoltado por un oficial subalterno y 9 soldados; comió S. A. R. en casa del Mariscal Bernadotte, quien lo habia visitado acompañado de todos los Generales , y de muchos oficiales del estado mayor y de la guarnición. A las 2 de la tarde prosiguió el Príncipe su camino, escolt</t>
  </si>
  <si>
    <t>de 5 años, para el servicio de la caballería. £1 colegio de la diputación ha renovado la orden del Mariscal Bernadotte, por la qual se prohíbe á todo Francés, que no sea individuo del exército, permanecer mas de 24 horas en Hannóver sin iicencia del Mariscal ó del Comandante de la plaza. Dicen que</t>
  </si>
  <si>
    <t>rts *4 de Setiembre* »&lt;.!' -.t.1 Escriben de Áqüisgran que el Coronel Oerard;, ,primerr Edecán' del Mariscal Bernadotte, ha presentado al.Emperador,, en nombre del exer— cito de Hannóver, una medalla de oro acuñada en las minas de Hartz, para consagrar el alecto del exército hacia la persona de S.</t>
  </si>
  <si>
    <t>pas Francesas, que se hallan en Hamburgó y sus c ercanías. En Bcotheim ha tenido una conferencia el Mariscal Bernadotte con el General Marmont, Comandante en gefe de las tropas Francesas que hay en Holanda. Ya van trayéndose ál Electorado de HannÓver los muchos cañones que se habían sacado: parece</t>
  </si>
  <si>
    <t>997 El Mariscal Bernadotte lia mandado poner en libertad la embarcación mercante Rusa, que cogieron los Franceses pocos dias hace enCuxhaven. S. A. R. el Principe Cristiano de Dinamarca saldrá mañana de Lud</t>
  </si>
  <si>
    <t>Bernal, Domingo</t>
  </si>
  <si>
    <t>Domingo Bernal</t>
  </si>
  <si>
    <t>e Buedo: para otra Ración de la colegial de Covarrúbias , diócesis de Burgos, vacante por muerte de D. Domingo Bernal, á D. Miguel Olalla; y para el Beneficio mayor simple servidero del lugar de Muriel, en el obispado de Avila, que ha renunciado D. Bernardo Herrero, Cura de Pozal de Gallinas, par</t>
  </si>
  <si>
    <t>Bernando Luege</t>
  </si>
  <si>
    <t>rdoba : para la Canongía de la colegial de Covadonga , diócesis de Oviedo, vacante por promoción de D. Bernando Luege á otra de la catedral de la misma diócesis, á D. Francisco Muñiz Prada: para una Ración de la catedral de Ibiza, vacante por promoción de D. Bartolomé</t>
  </si>
  <si>
    <t>Bernardini, Ignacio</t>
  </si>
  <si>
    <t>Ignacio Bernardini</t>
  </si>
  <si>
    <t>andera en los de España, Burgos, Uitonia y Borbon , á los Sargentos primeros D. Fernando Carrasco , D. Ignacio Bernardini y D. Eugenio Villásana; y_á los Cadetes D. Pablo de Traba , D. Josef Withe , D. Vicente Máríar Rosique , D. Guillermo Berard y D. Gabriel Jaume. En el Real cuerpo de Artillería se ha</t>
  </si>
  <si>
    <t>Bernardino de la Puerta</t>
  </si>
  <si>
    <t>9J9 D. Bernardino de la Puerta, Prior que era de la referida Colegial de la propia ciudad, á D. Vicente de Herce, con retención de la Dignidad que obtiene de Tesorero de ia referida Colegial. JE1 Rey se ha serv</t>
  </si>
  <si>
    <t>do nombrar para el Priorato de la Colegial de Soria,&gt; Diócesi de Osma, vacante por fallecimiento de D. Bernardino de la Puerta, á D. Josef Morales y Setien, Canónigo de la misma Colegial: para una Ración de la Metropolitana de Burgos, vacante por muerte de Don Manuel Zamema, á D. Miguel Ortiz de Rufrancos</t>
  </si>
  <si>
    <t>Bernardino González de Agüero</t>
  </si>
  <si>
    <t>sileros D. Benito Ramos Novillo ; y á Subtenientes de bandera de los de Laredo, Sigtienza y Ecija á D. Bernardino González de Agüero , D. Alexo Marcos de las Muelas, y D. Bernabé María Canelo y- Benitez., El Rey se ha servido nombrar para una plaza del Consejo Real, vacante por fallecimiento del Timo. .Sr. Marq</t>
  </si>
  <si>
    <t>Bernstoríf</t>
  </si>
  <si>
    <t>erarias; por cuya razón'S. M. Sueca se habia visto precisado &amp;c. La segunda nota es la respuesta de Mr. Bernstoríf á la antecedente , en la que se dice , que S. M. Dinamarquesa hubiera procurado dar al Rey de Suecia una satisfacción completa sobre la queja contra Olivaius , si no se hubieran p</t>
  </si>
  <si>
    <t>Berranger, Teniente General</t>
  </si>
  <si>
    <t>Teniente General Berranger</t>
  </si>
  <si>
    <t>manutención una carga real &amp;c. Antes de ayer recibió el Gobierno de estado los partes de oficio del Teniente General Berranger, y del Teniente Coronel Batemburg , el uno Gobernador general de la colonia de Surinam, y el otro Comandante de las tropas de la colonia. Estos pliegos, despachados de Paramaribo,</t>
  </si>
  <si>
    <t>Berriz, Vicente</t>
  </si>
  <si>
    <t>Vicente Berriz</t>
  </si>
  <si>
    <t>74° de Ronda al Teniente D. Pedro Algarin: á Teniente de granaderos del de Badajoz al de fusileros D. Vicente Berriz: á Tenientes de fusileros de los de Sígiienza, Ciudad-Rodrigo, Granada y Cuenca á los Subtenientes D. Fernando Barbaza, D. Francisco Sta. Cruz, D. Blas de Pinar y D. Miguel de Cór</t>
  </si>
  <si>
    <t>Berthier, General</t>
  </si>
  <si>
    <t>General Berthier</t>
  </si>
  <si>
    <t>de tropas que se emplearán en la defensa de las costas del norte de Holanda. También se dice que el General Berthier , Ministro de Guerra de la República francesa, llegará muy pronto á Utrech, donde pasará revista á las tropas de aquella guarnición, y á las que estan acantonadas en las inmediaci</t>
  </si>
  <si>
    <t>Bertnudez de Castro, Joseph</t>
  </si>
  <si>
    <t>Joseph Bertnudez de Castro</t>
  </si>
  <si>
    <t>ea: en el de Sevilla el empleo de Coronel al Teniente Coronel del de Mallorca, graduado de Coronel, D. Joseph Bertnudez de Castro: en el de Valencia Ayudantía al Teniente de granaderos, graduado de Capitán, D. Antonio Molina: en el de León Subtenencia de bandera al Sargento^ primero de granaderos D. Andrés R</t>
  </si>
  <si>
    <t>Beurnonvilíe, General</t>
  </si>
  <si>
    <t>General Beurnonvilíe</t>
  </si>
  <si>
    <t>de los forte-pianos á un nuevo grado de perfección. El Instituto nacional ha recibido por mano del General Beurnonvilíe, nuestro Embaxador en Madrid, un caxon de preciosos minerales remitidos de México por el sabio é intrépido viagero Huinboldt. Hay entre ellos uno absolutamente nuevo, y el Barón d</t>
  </si>
  <si>
    <t>Bicbat</t>
  </si>
  <si>
    <t>rasgos de beneficencia é integridad; noticias de la vida literaria, y obras del ciud. Bicbat, anatomista laborioso; y de otras obras y libros nacionales y extrangeros, legislación &amp;c. Se vende en las librerías de Escribano, Espejo y Montero, á 4 rs. De</t>
  </si>
  <si>
    <t>Bielsa, Tomás</t>
  </si>
  <si>
    <t>Tomás Bielsa</t>
  </si>
  <si>
    <t>e la guarnición de está plaza, fueron examinados los Cadetes del regimiento de infantería de Zamora D. Tomas Bielsa, D. Cárlos Emilio, D. Pedro Gómez, D. Manuel Tena, D.Ignacio Ventura y D, AntonioNicolau,de todas las obligaciones señaladas en la ordenanza; de las evoluciones y manejo del arma,</t>
  </si>
  <si>
    <t>Biezma, Antonio</t>
  </si>
  <si>
    <t>Antonio Biezma</t>
  </si>
  <si>
    <t>promovido S. M. á Comisario de Guerra del exército y del departamento de Artillería de Cartagena á D. Antonio Biezma, Comisario de Artillería, honorario de Guerra del exército; y á Comisario de Artillería, honorario de Guerra del exército, á D. Josef López Sobreviñas, Contralor reformado de Arti</t>
  </si>
  <si>
    <t>Bigbt-Preameneu</t>
  </si>
  <si>
    <t>quando cada uno entre en sí mismo , encontrará su felicidad en la de todos! El ciud. Bigbt-Preameneu lee el proyecto de ley. Por el artículo iv se previene que el código civil se dividirá ea un título preliminar</t>
  </si>
  <si>
    <t>Bikerton, Almirante</t>
  </si>
  <si>
    <t>Almirante Bikerton</t>
  </si>
  <si>
    <t>les de las demas esquadras, mientras se olvidan los que sirven en el Mediterráneo. Elogia al Contra-Almirante Bikerton, á quien en el tiempo de la expedición de Egipto se le pasó en silencio, quando se daban gracias al primero y al tercer Comandante de la esquadra. Elogia igualmente al Contra-Almi</t>
  </si>
  <si>
    <t>Bilbao' y Xiinenez, Fernando</t>
  </si>
  <si>
    <t>Fernando Bilbao' y Xiinenez</t>
  </si>
  <si>
    <t>s de Córdoba y Postigo, D. Juan de Azas, D. Josef Olózága y Travieso, D. Francisco Gazcon y Molina, D. Fernando Bilbao' y Xiinenez \ D. Pedro Notar bar tolo y Bolcgria, Dgíi Antonio González de Socueva, D. Francesco Chacón y valle, D. Gerónimo Obregon y Villa, D. Joaquín Tosquella y Monserrat, D. Jayme Fabreg</t>
  </si>
  <si>
    <t>Bill, Capitán</t>
  </si>
  <si>
    <t>Capitán Bill</t>
  </si>
  <si>
    <t>ero de matrimonio* ha sido menor de 70 que en el año anterior. DINAMARCA. Copenhague 3 de Julio. El Capitán Bill, Cónsul de S. M. en Argel, ha conseguido de aquel gobierno, que los esclavos portugueses, presos en sus mazmorras, y tratados con mucha dureza, duerman en adelante en las casas de</t>
  </si>
  <si>
    <t>Binns</t>
  </si>
  <si>
    <t>tado, en que aplica las ideas y los métodos del famoso Jorsith á los árboles frutales de este pais. Mr. Binns, que sabe á fondo teórica y prácticamente la economía rural, ha publicado un tratado de agricultura práctica, que se elogia mucho, por el tino y sensatez que manifiesta en sus muc</t>
  </si>
  <si>
    <t>Biot</t>
  </si>
  <si>
    <t>con impaciencia. Madama Bonaparte, madre del Emperador, ha salido de Lúea para restituirse á Roma. Mr. Biot ha; hechor efrdomiúgo su'segundo viage aerostático. Etf globo se mantuvo mucho "tiempo ¿dbíe París, y: su dirección era de norte á sur. : ■&lt; obrí: r\ 7 &lt; ' Avisan de Bruselas qUéM</t>
  </si>
  <si>
    <t>bió en un globo :de*de el jardín del Conservatorio de artes y oficios Mr. Gay-Lussac,.compañero cíe.Mr. Biot en su primer viage aerostático. Su viage ha sido muy feliz; ha permanecido en el ay re 6 horas, y ha subido á la altura de mas de S© varas» ■ .españa. ; ; León de Setiembre. , \ c*</t>
  </si>
  <si>
    <t>io8i mámente el uno solo, y el otro en compañía de Mr. Biot, del Instituto nacional. Mr. Bompland, compañero de Mr. de Humboit en su viage á los Andes, pasará aquí este invierno ocupado en la publicación de la obra de las plantas equinocci</t>
  </si>
  <si>
    <t>Bla</t>
  </si>
  <si>
    <t>l fenómeno ; pero habiéndose conducido á la Sociedad de la escuela de medicina el fetus Informe por Mr. Bla nche, cirujano de Rúan, se ha nombrado una comisión de 5 individuos para examinar la pieza patológica,; y del primer exárnen ha resultado: i.° que se ha desarrollado fuera del int</t>
  </si>
  <si>
    <t>Blake, Juan</t>
  </si>
  <si>
    <t>Juan Blake</t>
  </si>
  <si>
    <t>Domínguez y D. Angel del Castillo: Tenencia en el de Voluntarios de la Corona al Teniente agregado D. Juan Blake; y Subtenencias de bandera en el de Zamora al Sargento primero de granaderos D. Cayetano Daniel, y en los de Valencia , Ordenes Militares y Voluntarios de la Corona á los Cadetes</t>
  </si>
  <si>
    <t>Blakennagel, General</t>
  </si>
  <si>
    <t>General Blakennagel</t>
  </si>
  <si>
    <t>I 122 Mayor General Blakennagel se le entreguen de su Real erario 50® rublos, que deberá devolver .en el término d.e. 20 años, empezando el pago al concluir los 10 primeros después del establecimiento de la expr</t>
  </si>
  <si>
    <t>Blanchot, General</t>
  </si>
  <si>
    <t>General Blanchot</t>
  </si>
  <si>
    <t>iones exteriores la conquista de la isla de Gorea, hecha por el Teniente de Navio Mahé de orden del General Blanchot, Comandante del Senegal. Informado este General de que era débil la guarnición de la Gorea, resolvió intentar una sorpresa, que tuvo el efecto que deseaba. Quatro goletas que habí</t>
  </si>
  <si>
    <t>Blanco Hervas, Ignacio</t>
  </si>
  <si>
    <t>Ignacio Blanco Hervas</t>
  </si>
  <si>
    <t>uvieron el premio de primera clase D. Antonio de la Pena, D. Miguel Victorica , D. Andrés Trevilla, D. Ignacio Blanco Hervas, D. Josef Cabeza y D. Josef Bravo Bermudez. El premio de segunda clase le obtuvieron D. Tomas Araujo y D. Francisco Cantala.piedra : y el de tercera se concedió á D. Antonio Corde</t>
  </si>
  <si>
    <t>Blanco, Benito</t>
  </si>
  <si>
    <t>Benito Blanco</t>
  </si>
  <si>
    <t>........... 141.-25 Benito Blanco...................... Villarino........................ 14c, •25 I Francisco Martínez.............. Erihuega........................... 141..25 Ramón Otin.......................</t>
  </si>
  <si>
    <t>Blanco, Pedro Luis</t>
  </si>
  <si>
    <t>Pedro Luis Blanco</t>
  </si>
  <si>
    <t>embre. El Cura Párroco de Valdecobos, distante una legua de esta ciudad, ha presentado al limo. Sr. D. Pedro Luis Blanco, Obispo de ella, una coliflor de 2 arrobas con su tronco; y separado este ha pesado solo el grupo ó cabeza 23 libras y media, su elevación 12 pulgadas, y 63 y media su circunferen</t>
  </si>
  <si>
    <t>Blanco, Ramón</t>
  </si>
  <si>
    <t>Ramón Blanco</t>
  </si>
  <si>
    <t>29 de mayo de 1804</t>
  </si>
  <si>
    <t>ente de Rey de la plaza de Ciudad-Rodrigo ha nombrado S. M. al Capitán de Fragata de la Real armada D. Ramón Blanco; y le ha concedido el grado de Coronel de infantería. En el regimiento de infantería de Zaragoza se ha servido S. M. pro-, mover á Teniente al Subteniente D. Vicente Cabrera. En e</t>
  </si>
  <si>
    <t>Blanco, Tomás</t>
  </si>
  <si>
    <t>Tomás Blanco</t>
  </si>
  <si>
    <t>erio. ESPAÑA. León 4 de Octubre. Rafaela Pisonero, de edad de 21 años, muger de Tomas Blanco, falleció, de tabardillo, en la noche de i.° del que rige, á los 4 meses y medio de su embarazo. Sabido este por el Presbítero D. Luciano Cabero, qué hacia las funciones de Teniente de Cura</t>
  </si>
  <si>
    <t>Blanco, Vicente</t>
  </si>
  <si>
    <t>Vicente Blanco</t>
  </si>
  <si>
    <t>425- 6 Vicente Blanco..................... Zaragoza. 141. '25 Josef Luis , Cabo................ Escalona.. 283-16 Rafael Cuesta....................</t>
  </si>
  <si>
    <t>Blanken, Coronel</t>
  </si>
  <si>
    <t>Coronel Blanken</t>
  </si>
  <si>
    <t>han examinado los diques, y han merecido la aprobación de la Comisión del Consejo de la Marina. El Coronel Blanken, director de esta, excelente obra hidráulica, ha recibido los elogios merecidos .en una carr ta del Consejo de la Marina.r La fragata la Irene, de 32 cañones, es isil primer baxel</t>
  </si>
  <si>
    <t>Blasco de Orozco, Manuel</t>
  </si>
  <si>
    <t>Manuel Blasco de Orozco</t>
  </si>
  <si>
    <t>S. M.: para el simple servidero de Arjonciilo, en el obispado de Jaén, vacante por fallecimiento de D. Manuel Blasco de Orozco, á D. Francisco Enciso , con dimisión de la Ración de la metropolitana de Granada , para la qual fue nombrado por Real decreto de 24 de Abril del ano próximo pasado: para el Benef</t>
  </si>
  <si>
    <t>Blasco, Antonio</t>
  </si>
  <si>
    <t>Antonio Blasco</t>
  </si>
  <si>
    <t>ldés , á D. Hermenegildo Rodríguez de Ribera, Alcalde del crimen mas antiguo; y para esta resulta á D. Antonio Blasco. En América. El Rey se ha servido promover á Subteniente de bandera del regimiento de infantería de Puebla á D. Cristóbal Sotolongo, Cadete del mismo cuerpo. Habiéndose servido S.</t>
  </si>
  <si>
    <t>Bligh, Capitán</t>
  </si>
  <si>
    <t>Capitán Bligh</t>
  </si>
  <si>
    <t>nos de los negros, se entregáron á nuestras fuerzas, que las han tratado con la mayor humanidad. El Capitán Bligh alcanzó de ios negros la libertad del General Dumont y de su comitiva, que había caído en su poder, y se hallaba en inminente riesgo. En el Puerto Delfín se ha apresado la fragata</t>
  </si>
  <si>
    <t>Blondo Zavala, Agustín</t>
  </si>
  <si>
    <t>Agustín Blondo Zavala</t>
  </si>
  <si>
    <t>íctores Navajas; y á Subteniente de bandera al Cadete D. Mariano Soto y Llano. El Teniente de Navio D. Agustín Blondo Zavala, segundo Comandante de la fragata de S. M. ^nombrada Anfitrite, ha dado cuenta á la Superioridad desde AIgecíras,en 6 de este mes, del combate que sostuvo dicho buque, en 19 del a</t>
  </si>
  <si>
    <t>Bloys Van-Treslong, Almirante</t>
  </si>
  <si>
    <t>Almirante Bloys Van-Treslong</t>
  </si>
  <si>
    <t>een las palabras Augustas Germanicus. HOLANDA. Haya yo de Julio. Ha llegado á esta ciudad el Contra-Almirante Bloys Van-Treslong, Comandante, ántes de la toma de Surinarn, de nuestras fuerzas navales en los mares de las Indias occidentales; y fué uno de los oficiales que íirmáron la capitulación de Surinam</t>
  </si>
  <si>
    <t>Blucher, General</t>
  </si>
  <si>
    <t>General Blucher</t>
  </si>
  <si>
    <t>guarniciones ordinarias de la inspección de Franconia. Se dice que ha recibido órdenes de Berlín el General Blucher, que se halla en Munster, para tomar ciertas disposiciones en la inspección de Westphalia: en quanto á lo demas estas providencias pueden ser solamente simples precauciones relati</t>
  </si>
  <si>
    <t>Bocanegra, Almirante</t>
  </si>
  <si>
    <t>Almirante Bocanegra</t>
  </si>
  <si>
    <t>e el valor castellano ha hecho temblar en sus hogares á los dominadores del mar. En 1371 derrotó el Almirante Bocanegra al Conde de Pembrock, y entró en Santander triunfante con 8:0 prisioneros y el General. Por Abril de 138a equipó el Rey D. Juan 20 galeras en Sevilla, que á las órdenes de Tovar s</t>
  </si>
  <si>
    <t>Bompland</t>
  </si>
  <si>
    <t>Ortega por.D, Mariano Espinosa , cirujano empleado por S. M. en la Havana, consta „ que el Baron-y Mr. Bompland han visitado su jardín; que les-ha regalado una;, caxa de muy. raras semillas ; que- se-- disponian para* regresar, á Europa &amp;e.” Ultimamente con fecha de 2X de Mayo-dé este añó e</t>
  </si>
  <si>
    <t>junta de la clase de física y de matemáticas, la tercera memoria sobre el viage que ha hecho con el Dr. Bompland en lo interior de la»América Meridional yen elReyno de México. En la primera habla de las observaciones hechas en el Océano Atlántico, en la cima del pico de Tenerife, yen la provin</t>
  </si>
  <si>
    <t>io8i mámente el uno solo, y el otro en compañía de Mr. Biot, del Instituto nacional. Mr. Bompland, compañero de Mr. de Humboit en su viage á los Andes, pasará aquí este invierno ocupado en la publicación de la obra de las plantas equinocciales; y el público gozará muy pronto d</t>
  </si>
  <si>
    <t>Bonal, Mateo</t>
  </si>
  <si>
    <t>Mateo Bonal</t>
  </si>
  <si>
    <t>e Moratins para una Ración de la Colegial de Daroca , Diócesi de Zaragoza, vacante por promoción de D. Mateo Bonal á Canongía de la misma Iglesia, á D. Josef Esnariega: para otra de dicha Colegial, vacante por igual promoción de í&gt;-:Gcróriimo Pascual á otra Canongía de la misma , áDoa Juan Bau</t>
  </si>
  <si>
    <t>Bonaparre, General</t>
  </si>
  <si>
    <t>General Bonaparre</t>
  </si>
  <si>
    <t>gobierno mas activo, y de la dificultad de hallar un hombre á propósito, quando les dixéron que el General Bonaparre acababa de desembarcar en Frejus. Entonces Moreau, llamando apa; re al Director, le cixo: ,, Suspéndase todo harta que ilegue el General Bonaparte: este es ei hombre que necesita</t>
  </si>
  <si>
    <t>Bonaparte, General</t>
  </si>
  <si>
    <t>General Bonaparte</t>
  </si>
  <si>
    <t>os partidos me instaban á que me pusiese al frente de su oposición. Recibí en París las ordeñes del General Bonaparte, y haciéndolas executar, concurrí á elevarle á aquel grado de poder que prescribían las circunstancias. Algún tiempo después, me ofreció el mando del exército del Rhin , 'y yo le</t>
  </si>
  <si>
    <t>jus. Entonces Moreau, llamando apa; re al Director, le cixo: ,, Suspéndase todo harta que ilegue el General Bonaparte: este es ei hombre que necesita la Francia.”__ Lo demás es bien sabido. Bonaparte liega. El Director le habla. Bonaparte llama á Moreau. El 18 Brumarij amanece: Moreau marcha al D</t>
  </si>
  <si>
    <t>Bonaparte, Gerónimo</t>
  </si>
  <si>
    <t>Gerónimo Bonaparte</t>
  </si>
  <si>
    <t>la Sibila: esta ha entrado ayer en nuestro puerto en busca de provisiones , y la Dido llegará hoy. Mr. Gerónimo Bonaparte ha salido de aquí esta mañana para Baltimore con el Capitán de la Sibila, quien , al parecer, le ha traido pliegos. TURQUIA. Constantinopia JJ de Junio. Hourschid-Baxá, Gobernador</t>
  </si>
  <si>
    <t>discurrir y executar fácilmente. En un papel periódico de Burdeos se lee el artículo siguiente: ,, Mr. Gerónimo Bonaparte, su esposa y su suegro Mr. Patterson, de Baltimore, han llegado el 12 de Junio á Nueva-Yorck. Se cree que emprenderán muy en breve un viage á Francia.” ESPAÑA. Valladolid 11 de Ju</t>
  </si>
  <si>
    <t>perseguida por 18 corsarios Franceses de la Guadalupe, quienes la han causado bastante descalabro. Mr. Gerónimo Bonaparte comió á bordo de la fragata Francesa, nombrada la Dido, el viernes pasado; fue recibido por la Oficialidad con las demostraciones mas expresivas de alegría y de respeto; al día si</t>
  </si>
  <si>
    <t>Bonaparte, Luis (príncipe)</t>
  </si>
  <si>
    <t>Príncipe Luis Bonaparte</t>
  </si>
  <si>
    <t>rande Electora Su Alteza Imperial el Príncipe Josef Bonaparte: para la de Condestable á S. Ai I. el Príncipe Luis Bonaparte: para la de Archi-Canciller del Imperio al Cónsul Cambaceres; y para la de Archi-Tesorero al Cónsul Lebrun. Estos dos últimos han prestado su juramento en manos del Emperador-----</t>
  </si>
  <si>
    <t>una medalla acuñada en memoria del descubrimiento de la última conspiración con* tra Bonaparte. El Príncipe Luis Bonaparte debe llegar muy pronto al Piamonte* con cuyo motivo están sumamente ocupados, disponiendo las cosas para recibirlo. El Prefecto del palacio imperial en París, Mr. de Salmatoris, ha e</t>
  </si>
  <si>
    <t>BonaparteyGeneral, Luis</t>
  </si>
  <si>
    <t>Luis BonaparteyGeneral</t>
  </si>
  <si>
    <t>a potencia amiga de la Francia, con ningún título ni carácter quaiquiera.” ' El ciud. Luis BonaparteyGeneral de división, ha sido nombrado Consejero de Estado,. ESPAÑA. OUvencia io de Abril. El Capitán retirado D. Francisco Alvarez Preto, Hermano mayor de esta santa y Re</t>
  </si>
  <si>
    <t>Bonaventura</t>
  </si>
  <si>
    <t>evotio, ad impetrandam gratiam pro articulo mortis, per dies hebdomadae disposita. Ex Seraph. Doct. D. Bonaventura deprompta: un tomo en 16, á 3 rs. en pasta. Se hallarán en la.librería de la viuda de Ibarracalle de la Gorguera. Arte de conservar la salud y prolongar la vida,, ó tratada dé higien</t>
  </si>
  <si>
    <t>Boneti, Pedro</t>
  </si>
  <si>
    <t>Pedro Boneti</t>
  </si>
  <si>
    <t>ha servido el Rey promover á Brigadier al Subrigadier D; Bartolomé Geórget; á&gt;Subrigadier al Cadete D. Pedro Boneti; á Cadete de numera al supernumerario D. Vicente Planchón, y a supernumerario al Guardia D. Bernardo Cinesty. S. M. se ha servido conferir, la: Comandancia del tercer batallón del</t>
  </si>
  <si>
    <t>Bonifacio García</t>
  </si>
  <si>
    <t>............ 141-25 Bonifacio García.................. .Colmenar de Oreja........... 14 Juan Marques,—......... .... Casa de Uceda....... ......... 141-25 Agustín Ortiz.......................</t>
  </si>
  <si>
    <t>Bonifacio Jutz</t>
  </si>
  <si>
    <t>anaderos al de fusileros D. Jorge Traxler; y en el de Reding á Teniente al Subteniente de fusileros D. Bonifacio Jutz. En los Regimientos de caballería de línea se ha servido S. M. conferir Compañía en el de la Reyna al Ayudante, graduado de Capitán, Don Cristóbal Roldan: Tenencia en el de España</t>
  </si>
  <si>
    <t>Bonifacio Pérez</t>
  </si>
  <si>
    <t>Alfet^z IT. Andye^Tamarxis: en el de cazadores del Rey Compañía al Ayudante , graduado id® Capitán, D. Bonifacio Perez; y en el de húsares de voluntarios de Espa~ ña Ayudantía ai Teniente E). Francisco Panlagua. . . .&lt; , ... . En América. Ei íUxse ha-servidq confetir ^l.emplep de Coronel de*</t>
  </si>
  <si>
    <t>Bonifacio Yiitz</t>
  </si>
  <si>
    <t>Lamata; y Subtenencia de granaderos en el regimiento de infantería suizo de Reding al de fusileros D. Bonifacio Yiitz. En el batallón de Voluntarios de Navarra se ha servido el Rey promover á Capitán primero al segundo D. Francisco Queri. En América. El Rey se ha servido conferir al Coronel D. Ma</t>
  </si>
  <si>
    <t>Bonifaz, Márcos Antonio</t>
  </si>
  <si>
    <t>Márcos Antonio Bonifaz</t>
  </si>
  <si>
    <t>poyanos y para la de la ciudad de Sigüenza á D Márcos Antonio Bonifaz.; En América. En el regimiento de infantería provincial de las Tres Villas se ha servido el Rey promover á Teniente al Subteniente de granáderos D. Fernando de la Pedreguerá; á Su</t>
  </si>
  <si>
    <t>Bonilla, Antonio</t>
  </si>
  <si>
    <t>Antonio Bonilla</t>
  </si>
  <si>
    <t>........... 141..25 Antonio Bonilla............... . Tarancon......................... 141..25 Florencio González., Barrancos........................ 141. 25 3.a del *.°</t>
  </si>
  <si>
    <t>Bonnelli</t>
  </si>
  <si>
    <t>otenciario de Francia. EL Senado ha decidido que nuestro Enviado en Francia, el ciud. Bonnelli, sea uno de los Diputados encargados de cumplimentar, en nombre de la República, al Emperador de les Franceses con motivo de su coronación. FRANCIA. Burdeos 19</t>
  </si>
  <si>
    <t>Bonveli, Pedro</t>
  </si>
  <si>
    <t>Pedro Bonveli</t>
  </si>
  <si>
    <t>ría de Llera, plazuela del Angel ,-se venden dos estampas en papel dejila rea, grabadas en Roma por D. Pedro Bonveli, la una de Ntra. Sra. de las Mercedes, y la otra de S. Pedro Nolasco , fundador ¿ su precio 5 rs. cada una. . Paira mayor comodidad y "beneficio del -público se venderán en adelan</t>
  </si>
  <si>
    <t>Bonvin, Antonio</t>
  </si>
  <si>
    <t>Antonio Bonvin</t>
  </si>
  <si>
    <t>smo D. Juan: Baptista 9 y á Teniente en el regimiento suizo de Courten al Subteniente de granaderos D. Antonio Bonvin. .Td el Real cuerpo de Artillería ha promovido S. M. á Teniente del segundo regimiento al Subteniente del quinto-D. Miguel Panes, habiendo, nombrado Teniente de artilleros á cabal</t>
  </si>
  <si>
    <t>Borbon, María</t>
  </si>
  <si>
    <t>María Borbon</t>
  </si>
  <si>
    <t>dquirir noticias- de dicha señora, y no lo ha podido lograr; solamente qué algunos le han dicho que Doña María Borbon , otros que Doña María Gorgot, solian tener intereses por la rrar: por tanto, siempre que los apoderados de dichas señoras manifiesten alguna oblíracion ó corlespQ.nd^Tvcia con.di</t>
  </si>
  <si>
    <t>Bordey</t>
  </si>
  <si>
    <t>ído de España una porción de carneros merinos, loa primeros que se han visto en los Estados-Unidos. Mr. Bordey, que es un colono Americano de los mas instruidos, acaba de publicar un tratado, en que aplica las ideas y los métodos del famoso Jorsith á los árboles frutales de este pais. Mr.</t>
  </si>
  <si>
    <t>Bordons, Antonio</t>
  </si>
  <si>
    <t>Antonio Bordons</t>
  </si>
  <si>
    <t>almente ha nombrado S. M* para un empleo de Alférez del regimiento del Rey, primero de cazadores, á D. Antonio Bordons, Cadete ¡del mismo cuerpo. . En el Real cuerpo de Ingenieros del exército se ha servido el Re» promover á Sargentos mayores de brigada á los Capitanes primeros Don Josef Santa Cru</t>
  </si>
  <si>
    <t>Borghese y la Princesa, Príncipe</t>
  </si>
  <si>
    <t>Príncipe Borghese y la Princesa</t>
  </si>
  <si>
    <t>ención de la Suiza. ITALIA. Florencia ig de Julio. El 7 del corriente salieron de aquí para Lúea el Príncipe Borghese y la Princesa hermana del Emperador de los franceses. Se han recibido en Venecia , por la via de Trieste, noticias recientes de Egipto, asegurándose que ha durado muy poco la tranquilidad en lo</t>
  </si>
  <si>
    <t>Borghese, Princesa</t>
  </si>
  <si>
    <t>Princesa Borghese</t>
  </si>
  <si>
    <t>denal Josef Fesch , Ministro plenipotenciario de la República francesa cerca de la santa Sede, y la Princesa Borghese, han dado parte á la nobleza de esta capital del matrimonio del Príncipe D. Cami/</t>
  </si>
  <si>
    <t>8 de mayo de 1804</t>
  </si>
  <si>
    <t>n va á cumplimentar á la madre del primer Cónsul, que pasa á Roma á vivir en compañía de su hija la Princesa Borghese. Milán 29 de Marzo. : De algún tiempo á esta parte la muerte corta con sn guadaña las vidas de los sugetos mas distinguidos de la República. En ei Abate Fumagalli, individuo del I</t>
  </si>
  <si>
    <t>óxima; y entonces se podrá transitar por él en coche, y en todas las estaciones. ' El Príncipe y la Princesa Borghese pasaron por aquí yendo á París. La Princesa lleva con.-.igo el cuerpo embalsamado de su) hijo-, muerto tres meses hace en Frascafi___ También ha pasado por aquí ei Obispo de Ajacc</t>
  </si>
  <si>
    <t>Borghese, Príncipe</t>
  </si>
  <si>
    <t>Príncipe Borghese</t>
  </si>
  <si>
    <t>no haya el menor extravío, y se publique el mérito con imparcialidad-. ITALIA. Poma 7 de Mayo*. El Príncipe Borghese ha dado el i.° de este mes, en su casa de campo, un soberbio banquete á Madama Bonaparte, madre del primer Cónsul , y á muchas personas de distinción. El numero'de los convidados</t>
  </si>
  <si>
    <t>Borgia, Cardenal</t>
  </si>
  <si>
    <t>Cardenal Borgia</t>
  </si>
  <si>
    <t>te la plaza de uno de ios protectores de la Academia teológica; y S. S. se ha dignado conferirla al Cardenal Borgia. FRANCIA. 'Draguignan 20 de Enero. El Prefecto de este departamento ha publicado dos bandos; por el uno manda recoger los vagos y mal entretenidos , y entregarlos á los tribunales</t>
  </si>
  <si>
    <t>icael Dahaer^Rajtríarca dé iá Siria, con el objeto de ver á S..S., á cuya presencia le introduxo el Cardenal Borgia. Este venerable prelado;!que ha hecho un viage tan largo, ha sido acogido del Sto. Padre con las m ay ore s ,\dh't iuclon e s y muestras de cariño. Por medio-del intérprete ha hab</t>
  </si>
  <si>
    <t>Bosarte, Isidoro</t>
  </si>
  <si>
    <t>Isidoro Bosarte</t>
  </si>
  <si>
    <t>pocas á que pertenecen , adjuntos los documentos de ios archivos que han podido hallarse : su autof D. Isidoro Bosarte,</t>
  </si>
  <si>
    <t>Boscawen, Almirante</t>
  </si>
  <si>
    <t>Almirante Boscawen</t>
  </si>
  <si>
    <t>es de resultas de las disposiciones que hacian los Franceses, de enviar tropas á America, se dio al Almirante Boscawen la orden de pasar á Terranova con una esquadra, que apresó en aquella isla dos navios de guerra. Entonces se expidieron órdenes para hacer represalias generales, y para detener y con</t>
  </si>
  <si>
    <t>Bosch, Antonio</t>
  </si>
  <si>
    <t>Antonio Bosch</t>
  </si>
  <si>
    <t>oles nondum satis definita est. El autor de este trabajo literario es el Dr. D. Antonio Bosch, Médico de la villa de Savadall, que ganó la medalla de oro en la distribución de premios del año pasado 1803. La Academia ofrece por objeto de un premio, que deberá adjudicar en la quare</t>
  </si>
  <si>
    <t>Botija, Antonio</t>
  </si>
  <si>
    <t>Antonio Botija</t>
  </si>
  <si>
    <t>ta Sede , á D- Nicolás Rodríguez , Arcediano de Valiadolid, cofl 300 ducados ¡de pensión i favor de D. Antonio Botija.. -^</t>
  </si>
  <si>
    <t>Botta, Pedro</t>
  </si>
  <si>
    <t>Pedro Botta</t>
  </si>
  <si>
    <t>Antonio Stulz, Capitán segundo del mismo; y la Tenencia del de Courten al Subteniente de granaderos D. Pedro Botta. En América. El Rey se ha servido nombrar para el Deanato de la Iglesia Metropolitana de Charcas, vacante por fallecimiento de D. Agustín Salinas, al Chantre D. Tomas Godoy y Vilc</t>
  </si>
  <si>
    <t>Bourcier, General</t>
  </si>
  <si>
    <t>General Bourcier</t>
  </si>
  <si>
    <t>el campamento de Montreuil y la división de caballería ligera, que está en Somer, á las órdenes del General Bourcier; los destacamentos de granaderos de la reserva á las órdenes del General Junot; los oficiales y dragones de la división del General Baraguay-d’Hilliers, y de la del General Klein,</t>
  </si>
  <si>
    <t>Boutelou, Claudio</t>
  </si>
  <si>
    <t>Claudio Boutelou</t>
  </si>
  <si>
    <t>las flores, en que se explica el método de cu’tivar las que sirven para adorno de los jardines, por D. Claudio Boutelou, segundo profesor de Botánica, y Jardinero mayor del Real Jardín Botánico de Madrid, y D Estéban Boutelou, Jardinero mayor en el Real Sitio de Aranjuez. En esta obra, que es i a p</t>
  </si>
  <si>
    <t>Boutelou, Estéban</t>
  </si>
  <si>
    <t>Estéban Boutelou</t>
  </si>
  <si>
    <t>dio Boutelou, segundo profesor de Botánica, y Jardinero mayor del Real Jardín Botánico de Madrid, y D Estéban Boutelou, Jardinero mayor en el Real Sitio de Aranjuez. En esta obra, que es i a primera de su clase que se ha publicado en España, se pone el nombre castellano de cada planta de adorno; e</t>
  </si>
  <si>
    <t>Bovadilla, Antonio</t>
  </si>
  <si>
    <t>Antonio Bovadilla</t>
  </si>
  <si>
    <t>n Josef Murrieta, Don Francisco Spínola, D. Juan Ulloa., D. M-sariin Oarrichena , D. Manuel Bacaro, D. Antonio Bovadilla, D. Migu«i(li Martínez, D. Luis Lasqueti,Don Juan Latre, D. Tomas Urrecha, D: R.jmon Moyua, D. Ramón Torre, D. Manuel Berna!, D. Antonio Mañeáis D.Joaquín Elgueta, D. Francisco Sa</t>
  </si>
  <si>
    <t>Bowier, Nicolás</t>
  </si>
  <si>
    <t>Nicolás Bowier</t>
  </si>
  <si>
    <t>e, graduado de Capitán, D. Emundo O-Ronan; y en el de Navarra Subtenencias de bandera á los Cadetes D. Nicolás Bowier y D. Manuel Guerrero. El Rey se ha servido promover á Capitán primero del regimiento de infantería suizo ambulante de Ruttiman al Capitán segundo D. .Rodulfo Bossart: á Teniente de gr</t>
  </si>
  <si>
    <t>Brady, General</t>
  </si>
  <si>
    <t>General Brady</t>
  </si>
  <si>
    <t>Enviado de aquel Príncipe. El Emperador ha conferido el mando ett gefe de la Daimacia austríaca al General Brady; dándole asimismo poderes extraordinarios relativos á las turbulencias que alteran el orden público en las provincias contiguas á la Turquía. Tendrá su quartel general en Zara. Es</t>
  </si>
  <si>
    <t>Bralle</t>
  </si>
  <si>
    <t>Bonaparte. FRANCIA. París &lt;f de Agosto. El gobierno acaba de publicar una instrucción, escrita por Mr. Bralle, de Amiens, cuyo objeto es dar un método mas económico y mas saludable que el que hasta ahora se ha seguido para enriar ó curar el cáñamo. En varios departamentos de Francia acost</t>
  </si>
  <si>
    <t>Brani, General</t>
  </si>
  <si>
    <t>General Brani</t>
  </si>
  <si>
    <t>tán en marcha para este destino, y algunos han llegado ya á las fronteras de la Suabia Superior. El General Brani, comandante de Cataro en Albania, ha llegado á Viena para recibir instrucciones. Se habla de poner la Albania en estado de defensa. El 21 de Febrero se sintió en Eilsenerz, en la</t>
  </si>
  <si>
    <t>Branly, Antonio</t>
  </si>
  <si>
    <t>Antonio Branly</t>
  </si>
  <si>
    <t>onel, D. Francisco Xavier de Lamadriz. En el misino cuerpo ha promovido á Capitanes á los Tenientes D. Antonio Branly, de granaderos, y D. Pedro Santacilia, Ayudante: á la resulta de este al Teniente de granaderos D. Juan Montes: á Tenientes de granaderos á los de fusileros D. Francisco Morales y</t>
  </si>
  <si>
    <t>Bravo de Rivero, Juan</t>
  </si>
  <si>
    <t>Juan Bravo de Rivero</t>
  </si>
  <si>
    <t>Treviño, D. Joaquin Escario y Carrasco, D. Joaquin Vivanco y Yun , D. Pedro Ortiz de Zarate y Ara , D. Juan Bravo de Rivero, D. Josef González de Merino, D. Bernardo Gil de Ledesma y Seix , D. Josef Santiago Arias de Saavedra, Don Ignacio de Cárdenas y Cárdenas, D. Juan Loriga y Reguera, D. [oaquin Agu</t>
  </si>
  <si>
    <t>Bravo, Francisco</t>
  </si>
  <si>
    <t>Francisco Bravo</t>
  </si>
  <si>
    <t>............ 141-25 Francisco Bravo.................... Mora................................... 14 Vicente Bueno..................... Valencia.................... . 141-25 Domingo Ruíz—..</t>
  </si>
  <si>
    <t>Bravo, Lucas</t>
  </si>
  <si>
    <t>Lucas Bravo</t>
  </si>
  <si>
    <t>24 de enero de 1804</t>
  </si>
  <si>
    <t>, séptimo de línea,, se ha servido el Rey conferir el empleo de Portaestandarte al Sargento primevo D. Lucas Bravo. En el Real cuerpo de Artillería se ha servidoS. M. nombrar Subteniente de la segunda compañía fixa de la plaza de Ceuta al Sargento prefiero dei segundo regimiento D. Valero Vill</t>
  </si>
  <si>
    <t>Bravo, Luis</t>
  </si>
  <si>
    <t>Luis Bravo</t>
  </si>
  <si>
    <t>ar para una Ración de la parroquia de Montalban, diócesis de Zaragoza, vacante por fallecimiento de D. Luis Bravo, á D. Josef Esteban ; para otra de la parroquia de Fuentes de Ebro, diócesis de Zaragoza, vacante por muerte de D. Antonio Larrayad, á Don Joaquín Basa; para un Beneficio, llamado</t>
  </si>
  <si>
    <t>Bravo, Luís</t>
  </si>
  <si>
    <t>Luís Bravo</t>
  </si>
  <si>
    <t>: para una Ración de la parroquia de Montalban, diócesis de ¿Zaragoza, yacante por fallecimiento de D. Luís Bravo, á D. Josef Estébari; y para un Beneficio de la catedral de Gerona, vacante por muerte de D. Pedro Cora, á D. Felipe Ordis. El Rey se ha servido conceder en el regimiento de infan</t>
  </si>
  <si>
    <t>Breciani, Felipe</t>
  </si>
  <si>
    <t>Felipe Breciani</t>
  </si>
  <si>
    <t>: para el Préstamo del Castillejo de Azaba, en el obispado de Ciudad-Rodrigo, vacante por muerte de D. Felipe Breciani * á D. Juan Rodríguez, Cura del lugar de Peñaparda en el mismo obispado; y pára la Prestamera de la villa de Cañada del Hoyo, en el de Cuenca, por muerte de D. Miguel Ortiz, á</t>
  </si>
  <si>
    <t>Brehmer</t>
  </si>
  <si>
    <t>el Gobierno un establecimiento benéfico, que con tanto zelo desempeña el objeto de su instituto. El Dr. Brehmer, de Lubek, ha descubierto un medio nuevo de destilar el agua del mar y hacerla potable, á ménos costo que por los métodos conocidos hasta el dia. Según escriben de Berlín con fech</t>
  </si>
  <si>
    <t>Bretón, Manuel</t>
  </si>
  <si>
    <t>Manuel Bretón</t>
  </si>
  <si>
    <t>orriente remitió desde Orihuela D. Manuel de la Cruz,. Sargento mayor del Regimiento de Numancia, á D. Manuel Bretón, residente en</t>
  </si>
  <si>
    <t>Brigadier Manuel Herck</t>
  </si>
  <si>
    <t>Betegon, Coronel del Real cuerpo de'Artlllería : para el de la de Olivencia al Brigadier Don Manuel Herck , Coronel del Regimiento de infantería de Guadalaxara; y para la Tenencia de Rey de la misma plaza á D. Agustín Esparta ^Teniente Coronel del Real cuerpo de Ingenieros. En América. En el es</t>
  </si>
  <si>
    <t>Bringas, Juan Antonio</t>
  </si>
  <si>
    <t>Juan Antonio Bringas</t>
  </si>
  <si>
    <t>mbién se ha servido nombrar para la Vara de Teniente primero de Asistente de la ciudad de Sevilla á D. Juan Antonio Bringas; y para el Corregimiento de letras de la de Anduxar á D. Josef Bermejo y Noriega. Asimismo ha venido S. M. en trasladar á la Vara de Alcalde mayor de la villa de Olívenza, de segu</t>
  </si>
  <si>
    <t>Bringas, Pedro</t>
  </si>
  <si>
    <t>Pedro Bringas</t>
  </si>
  <si>
    <t>ga al Sargento primero de granaderos D. Juan de Vargas, y en los de América y Nápoles á los Cadetes D. Pedro Bringas, D. Fernando Martínez de Aguilar y D. Juan Bautista Raggi, el segundo del regimiento de Granada, y el último del de Reales Guardias Walonas. El Rey se lia servido conceder Tenenci</t>
  </si>
  <si>
    <t>Brix, Benito</t>
  </si>
  <si>
    <t>Benito Brix</t>
  </si>
  <si>
    <t>25 ó jnas acciones propias deberán hacerlo constar en la secretaría del. citado Banco, del cargo de D, Benito Brix, exhibiendo las mismas acciones, l#</t>
  </si>
  <si>
    <t>Briz, Lucas</t>
  </si>
  <si>
    <t>Lucas Briz</t>
  </si>
  <si>
    <t>apitán, Di-Julián Alvavez; y Tenencias en los de Granada y Navarra á los Subtenientes de granaderos D. Lucas Briz y D. Felipe Lesse.. También se ha servido S. M. promover á Teniente en el regimiento de infantería de Zaragoza ¿ D. Josef de Miranda , Subteniente del mismo CUeEn elRéal Cuerpo de art</t>
  </si>
  <si>
    <t>Broysgroller, Luis Pedro</t>
  </si>
  <si>
    <t>Luis Pedro Broysgroller</t>
  </si>
  <si>
    <t>ancisco Simón Perez de Grandallana. A Alféreces de Navio los de Fragata' D. Juan Patricio Fournier, D. Luis Pedro Broysgroller, D. Carlos D’esmarest, D. Diego de la Vega, D. Josef de León, D. Luis Pardo, D. Josef Chacón, D. Martin de la Quintana, D. Cayetano Picado, Don Francisco Villavicencio, D. Luis de</t>
  </si>
  <si>
    <t>Brugnatelli</t>
  </si>
  <si>
    <t>de los medicamentos en el cuerpo humano y en otras especies de animales, por el ciudadano Brugnatelli, con otro de Fourcroy sobre los contravenenos, ¿ 3 rs. en rústica. Diccionario manual de voces necesarias para el trato común en las cinco lenguas, española, i</t>
  </si>
  <si>
    <t>Bruíx, Almirante</t>
  </si>
  <si>
    <t>Almirante Bruíx</t>
  </si>
  <si>
    <t>acta de mediación. FRANCIA. Paris de Octubre. Con fecha de 3 del corriente han avisado de oficio el Almirante Bruíx, que manda la esquadrilla Imperial en Boloña, y el Comandan-te en gefe del campo de San-Omer, la tentativa hecha por los Ingleses en la noche anterior para incendiar los buques de</t>
  </si>
  <si>
    <t>Bruix, Almirante</t>
  </si>
  <si>
    <t>Almirante Bruix</t>
  </si>
  <si>
    <t>e la línea por uno de nuestros peniches en el combate dado en ¿a npehe del .2 al 3 de Octubre. t El Almirante Bruix da cuenta al Ministro de Marina, en carta del .5, de la llegada á Boloña de ó? buques de..la esquadrilla del Havre, á las</t>
  </si>
  <si>
    <t>ica todas las precauciones que exige la prudencia contra tan terrible mal. Par ís 50 de Octubre. El Almirante Bruix escribe, con fecha del 23, que una división enemiga de 7 embarcaciones de alto bordo acometió cerca del Cabo Grinez á una división de la esquadrilla compuesta de 3 p ramas , chalupa</t>
  </si>
  <si>
    <t>Brum</t>
  </si>
  <si>
    <t>la villa de Gnemica, señorío de Vizcaya., de las observaciones que ha-hecho ‘el ciud. Brum, profesor de historia natural en la escuela central del departamento del Oise •, -en Francia , acerca de la extraordinaria multiplicación de la cebada ramosa,</t>
  </si>
  <si>
    <t>Brune, General</t>
  </si>
  <si>
    <t>General Brune</t>
  </si>
  <si>
    <t>ontadas á la puerta de su casa dos piezas de artillería. Dicho Comisario ha despachado un correo al General Bruñe dándole parte de este honorífico recibimiento. Nuestro gobierno ha recibido una noticia de oficio muy circunstanciada de los últimos sucesos en Arabia, por la qual queda plenament</t>
  </si>
  <si>
    <t>ta ciudad el día 16 , y ha sido recí-bido con muchos honores. Su esquadrilla entro 5 dias ántes. El General Bruñe, Ministro de Francia, continúa sus conferencias secretas con los Ministros de la Puerta. A conseqiiencia de las proposiciones de paz que hicieron á la Puerta los Beyes de Egipto,</t>
  </si>
  <si>
    <t>97 Un artículo de Constatitinopla, publicado en varias gazeías alemanas, contiene lo siguiente: El General Bruñe, Ministro de Francia, ha quedado enteramente satisfecho de resultas de haberle manifestado el ReísEtfendi, que la Puerta quiere indemnizar á los franceses, cuyas propiedades fu é</t>
  </si>
  <si>
    <t>óxj mmmmm GAZETA DE MADRID DEL VIERNES 13 DE JULIO DE 1804. TURQUIA. Constantinopla 12 de Mayo. El General Bruñe, Embaxador de Francia, ha mandado trasladar á la iglesia de los capuchinos de S. Luis el cuerpo del General AubertDubayet, Ministro de la República, fallecido 7 años ha en es»ta c</t>
  </si>
  <si>
    <t>renunciar el gobierno, y á abandonar la provincia, retirándose á Damasco, donde reside su padre. El General Bruñe, Embaxador de Francia, tiene con el Reis-Eífendi freqiientes conferencias, cuyo objeto principal es el reconocimiento del Emperador Napoleón. La Puerta va dando largas, y no acaba</t>
  </si>
  <si>
    <t>reslau á Berlín ha desvanecido aquellas esperanzas. Por cartas particulares de Viena se sabe que el General Bruñe, Embaxador de Francia cerca de la Sublime Puerta, vendrá á reemplazar á Mr. Champagny en aquella capital. GRAN BRETAÑA. Londres 22 de Agosto. Los Directores de la Compañía de la I</t>
  </si>
  <si>
    <t>Bruneti, Juan</t>
  </si>
  <si>
    <t>Juan Bruneti</t>
  </si>
  <si>
    <t>io pliego de marca mayor de Sta. María Magdalena , pintada por el célebre Guido Reni, y grabada por D. Juan Bruneti. Se hallará en la calcografía establecida en la imprenta Real. De orden del Consejo de S. M. de la sant^ general Inquisición, y.en virtud, deprovidencias dadas por los Sres. Inqui</t>
  </si>
  <si>
    <t>Brunetti, Coronel</t>
  </si>
  <si>
    <t>Coronel Brunetti</t>
  </si>
  <si>
    <t>a italiana: el Coronel Lecchi es el Comandante principal de este batallón; y el segundo el Teniente Coronel Brunetti. FRANCIA. . . : ' Ambires iG de Diciembre. En la aldea de Hoogreld , inmediata á Lieja,y á 3 leguas de aquí, se ha experimentado un suceso desgraciado,que merece publicarse ,á fin</t>
  </si>
  <si>
    <t>Brunetti, Juan</t>
  </si>
  <si>
    <t>Juan Brunetti</t>
  </si>
  <si>
    <t>iego de marca mayor que representa al Salvador del mundo, pintado por Aníbal Carachi, y grabado por D. Juan Brunetti, dedicado á la Excma. Sra. Doña María Manuela Piguatelli y Gonzaga, Duquesa viuda de Villa•hermosa. Se hallará en la librería de Escribano, calle de Jas Carretas, á 7 rs. El Pelel</t>
  </si>
  <si>
    <t>retratos de las personas Reales: retrato del Sermo. Sr. Infante D. Francisco de Paula, grabado por D. Juan Brunetti, dibuxado por D. Antonio Carnicero, Pintor de Cámara de S. M. Se hallará en la librería de Escribano, calle de las Carretas, á 5 rs. En la librería de Arribas, calle de las Carret</t>
  </si>
  <si>
    <t>Brunettí, Juan</t>
  </si>
  <si>
    <t>Juan Brunettí</t>
  </si>
  <si>
    <t>mar y tierra, dibuxado de cara por D. Antonio Carnicero , Pintor de cámara de S. M., y grabado por D. Juan Brunettí al estilo ingles. Se hallará en la librería de Escribano, calle de las Carretas. En la librería de Campo, calle de Alcalá, se hallan las obras nuevas de música siguientes: 3 dúos</t>
  </si>
  <si>
    <t>Bruno Barrera</t>
  </si>
  <si>
    <t>eyna á D. Josef Fernandez: en el del Príncipe i D. Jnan Bastida y D. Juan Sedaño: en el de Saboya á D, Bruno Barrera : en el de Africa al Cadete del de León D. Josef Bedoya: en el de Guadalaxara á D. Josef Corbalan: en el de Sevilla á Don Ildefonso Rifa: en el de Granada á D. Rafael Arango y D.</t>
  </si>
  <si>
    <t>Brutí, Antonio</t>
  </si>
  <si>
    <t>Antonio Brutí</t>
  </si>
  <si>
    <t>uado de Capitam, D. Ju2n de VeIasc§: Ayridahtía’én el de Córdoba ah Teniente, con grado de Capitán, D. Antonio Brutí: Subtenencias de bandera en este Cuerpo al Cadtte D¿*Roque Lillo, y al Sargento primero de granaderos D. Juan de Azconaga: en el de Soria al Sargento primero D. Ignacio Lozano; y</t>
  </si>
  <si>
    <t>Bueno de Cevailos, Antonio</t>
  </si>
  <si>
    <t>Antonio Bueno de Cevailos</t>
  </si>
  <si>
    <t>l mismo, y los de Toro yTruxiiio, á los de fusileros D. Felipe Navarro y Egúi, Di Joaquín Carrera y D. Antonio Bueno de Cevailos : Teniente de fusileros del de Bujalance al Subteniente de granaderos D. Cristóbal Villalobos: Subtenientes de granaderos de los de Sigiienza y Bétanzos á los de fusileros D. Alex</t>
  </si>
  <si>
    <t>Bueno, Agustín</t>
  </si>
  <si>
    <t>Agustín Bueno</t>
  </si>
  <si>
    <t>r Subtenientes del Real Cuerpo de Ingenieros del exército á D. Félix Toda, D. Gerónimo Valladares y.Don Agustín Bueno, Teniente y Subtenientes del regimiento de infantería de Mallorca; á D. Antonio Hurtado, D. Josef Navarro, D. Francisco Ruarte, D. Miguel Ruano, D. Juan Pablo Sebastian y D. André</t>
  </si>
  <si>
    <t>Bufarull, Pedro</t>
  </si>
  <si>
    <t>Pedro Bufarull</t>
  </si>
  <si>
    <t>no Caro y D. Pedro Osorio: á Tenientes de granaderos á los de fusileros D. Josef Fernandez Reguera, D. Pedro Bufarull y D. Sebastian Arroyo : á Tenientes á los Subtenientes D. Josef de Osorio, de granaderos, graduado de Teniente-, D. Josef Loísel, D. Antonio Caballero, D. Francisco Gatro, D. Narciso</t>
  </si>
  <si>
    <t>Bugedo, Ignacio Alonso</t>
  </si>
  <si>
    <t>Ignacio Alonso Bugedo</t>
  </si>
  <si>
    <t>: para el Beneficio simple de Aedo de Butrón, en el Arzobispado de Burgos, vacante por promoción de D. Ignacio Alonso Bugedo al Arcedianato titular de la Metropolitana de Búrgos, á D. 0oihingo González Álónso, con retención del Préstamo del lugar de Gáname, en la Diócesis de Zamora, para el que fué nomb</t>
  </si>
  <si>
    <t>Buigedo, Ignacio Alonso</t>
  </si>
  <si>
    <t>Ignacio Alonso Buigedo</t>
  </si>
  <si>
    <t>servido nombrar para una Cánongía de la iglesia metropolitana de Burgos , vacante por promoción de D. Ignacio Alonso Buigedo ai Árcedianato titular de ella, á D. Vicente de la Puente, Racionero de la misma: para otra de la propia iglesia, por promoción de Don Antonio Villagrasa á una de la de Zaragoza,</t>
  </si>
  <si>
    <t>Bujedo, Ignacio Alonso</t>
  </si>
  <si>
    <t>Ignacio Alonso Bujedo</t>
  </si>
  <si>
    <t>para el Arcedianato titular de la metropolitana de Burgos, vacante por muerte de D. Josef Marrón, á D. Ignacio Alonso Bujedo,Canónigo de la misma , pensionándole en 5® rs. á favor de la Real capilla: para una Ra.cion de la catedral de Tuy, vacante por promoción de D. Bernardo Sánchez Cidras á Canónigo d</t>
  </si>
  <si>
    <t>Bulgari, Nicolás (conde)</t>
  </si>
  <si>
    <t>Conde Nicolás Bulgari</t>
  </si>
  <si>
    <t>1804. RUSIA. Petersburgo 22 de Agosto. El Emperador ha elevado á la clase de Consejero de Estado al Conde Nicolás Bulgari en atención á los servicios importantes hechos en el empleo que ocupa cerca de la República de las Siete-Islas. Se habla de un nuevo plan de instrucción páralos jovenes que se dedic</t>
  </si>
  <si>
    <t>Burckhardt</t>
  </si>
  <si>
    <t>to regocijo semejante. Parts ij de Noviembre. El Instituto ha nombrado para la plaza de Astrónomo á Mr. Burckhardt, natural de Leipsick y domiciliado en Francia. S. S. Pió vil ha escrito una carta muy expresiva de gracias á Mr. Desray, librero de esta capital, por el magnífico exemplar que le</t>
  </si>
  <si>
    <t>Burf, Coronel</t>
  </si>
  <si>
    <t>Coronel Burf</t>
  </si>
  <si>
    <t>ERICA. 1 —l.. *,'j '.HÑ^a^qwkAS'dfiSeitímfoe,. :. £ ^ ¡P -n. 1. Dfispues.^ ^a^ér tomaflo la ñ;ga el‘Coronel Burf» y ¿vitado, asilas fatales conseqiiencias que Reblan resultarle, por la muerte del Qéjñ^rai Hamilton, se cuenta el casq en los papeles públicos de mil mpdo's dife?rentes; En ellos</t>
  </si>
  <si>
    <t>Burgos, Francisco</t>
  </si>
  <si>
    <t>Francisco Burgos</t>
  </si>
  <si>
    <t>............ 283-16 Francisco Burgos................. Tembleque....................... 141-25 Gabriel Peñaranda, id. Quintanar del Rey........ 283-16 Simón Elvira......................</t>
  </si>
  <si>
    <t>Burgos, Manuel</t>
  </si>
  <si>
    <t>Manuel Burgos</t>
  </si>
  <si>
    <t>ante por fallecimiento de D. Tomas del Valle, y por no haber tenido efecto el nombramiento hecho en D. Manuel Burgos, á D. Luis Saenz Perez , con carga de residencia , ayudar al Párroco y otras. El Rey se ha servido conceder Ayudantía en el regimiento de infantería de Africa al Capitán D. Andrés</t>
  </si>
  <si>
    <t>Burgueño, Carlos</t>
  </si>
  <si>
    <t>Carlos Burgueño</t>
  </si>
  <si>
    <t>D. Mariano Gañestro y D. Clemente Garoz: á Teniente de granaderos del de Valladolid al de fusileros D. Cárlos Burgueño : á Tenientes de fusileros de los de Badajoz, Toro , Laredo y Betanzos á los Subtenientes D. Francisco Mercado, D. Pablo Galarza, D. Miguel Moneaban y D. Antonio Riomayor: á Subte</t>
  </si>
  <si>
    <t>Burr</t>
  </si>
  <si>
    <t>preeminencia, y su triunfo debe ser asunto de grande importancia en la política. Se sabe ahora que Mr. Burr, el Vice-Presidente, era adicto al partido Francés, mientras que el General Ha-mil ton , el amigo de Wasninghton, desaprobaba altamente los proyectos de violencia y de engrandecim</t>
  </si>
  <si>
    <t>Burr, Coronel</t>
  </si>
  <si>
    <t>Coronel Burr</t>
  </si>
  <si>
    <t>opiniones políticas. El General Hamilton se ¡manifestaba contrario á la ambición de Bonaparte, y el Coronel Burr «le</t>
  </si>
  <si>
    <t>ca hace de dia en dia muchos progresos en aquel Imperio. En una Gazeta de Nueva-Yorck se lee que el Coronel Burr, Vicepresidente de los Estados-Unidos , ha sido declarado por la Sala de Justicia del Estado de Nueva-Gersey, en cuyo territorio se cometió ei delito de la muerte del General Hain</t>
  </si>
  <si>
    <t>Burroughs</t>
  </si>
  <si>
    <t>27 de enero de 1804</t>
  </si>
  <si>
    <t>e manifestó persuadido de que las providencias propuestas contribuirían á hacerla mas desastrada.__ Mr. Burroughs se mostró dispuesto á consentir en la suspensión de la acta de hibeas Corpus j pero quería que la discusión sobre renovar la ley marcial se difiriese hasta que se hallara presente</t>
  </si>
  <si>
    <t>Bustamanre, Vicente</t>
  </si>
  <si>
    <t>Vicente Bustamanre</t>
  </si>
  <si>
    <t>ncisco Manrique; á Supernumerario al Brigadier D. Josef. Azcutia; á Brigadieres á los Subrigadieres D. Vicente Bustamanre yD. Josef Puch; á Subrigadieres á los Cadetes D. Antonio Pascual y D. Josef Armendariz; á Cadetes de número á los Supernumerarios DoiL Ignacio Mora y D. Josef Pacheco; y á Supernume</t>
  </si>
  <si>
    <t>Bustamante, Pablo</t>
  </si>
  <si>
    <t>Pablo Bustamante</t>
  </si>
  <si>
    <t>eyra, D. Josef de Miranda, D.. Francisco Díaz Melendez, D. Josef Aramburu, ¿.Francisco Echezarreta, D. Pablo Bustamante, D. Domingo Allende, D. Antonio Valcárcel, D. Antonio Díaz de Córdoba , D. Salvador Clavijo, D. Josef Julián, D. Francisco Topete, D. Manuel del Castillo, D. Vicente María Saavedr</t>
  </si>
  <si>
    <t>Butrón, Fernando</t>
  </si>
  <si>
    <t>Fernando Butrón</t>
  </si>
  <si>
    <t>rario al Guardia D. Felipe de Lorieri; y en la Compañía Italiana á Cadete Supernumerario al Guardia D. Fernando Butrón. S. M. se ha servido conferir la Tenencia Coronela del Regimiento de infantería de Soria al Coronel D. Cosme Alvarez, Comandante del tercer batallón del de Valencia: Compañía en e</t>
  </si>
  <si>
    <t>aliana dei Real Cuerpo de Guardias de Corps ha promovido S. M. á Cadete de número al Supernumerario D. Fernando Butrón; y á Supernumerario al Guardia D. Toribio Sánchez. Los tenedores de Vales-dinero de la Tesorería de Consolidación, de la creación de i.° de Enero, los presentarán en la misma Teso</t>
  </si>
  <si>
    <t>Buyskes, Capitán</t>
  </si>
  <si>
    <t>Capitán Buyskes</t>
  </si>
  <si>
    <t>odoro Hood ha apresado 150 baxeles desde el principio de la guerra* HOLANDA. Haya 12 de Octubre. El Capitán Buyskes, Comandante de la corbeta Aguila, cuya llegada á Lisboa se habia anunciado, ha llegado aquí. Trae pliegas reservados para el Gobierno de Estado,.que la Regencia de las colonias Bá</t>
  </si>
  <si>
    <t>Byard, Coronel</t>
  </si>
  <si>
    <t>Coronel Byard</t>
  </si>
  <si>
    <t>eral Hamilton fué atravesado de un balazo por medio del cuerpo ; y habiendo sido llevado á casa del Coronel Byard, espiró al día siguiente. Luego que este suceso se hizo público, todos ma.niféstáron su gran sentimiento. Por orden de la municipalidad de NuevaYorck se suspendieron los negocios</t>
  </si>
  <si>
    <t>BzxL EL Gran Visir, Capitán</t>
  </si>
  <si>
    <t>Capitán BzxL EL Gran Visir</t>
  </si>
  <si>
    <t>s en el ministerio otomano , y Se teme que se separe enteramente de los-negocios á las hechuras del Capitán BzxL EL Gran Visir , ■ cuyos ^principios políticos diferían totalmente de ios del Almirante’, ha vuelto á adquirir todo su influxo. Según noticias que se tienen, la marina rusa del mar Negro se pond</t>
  </si>
  <si>
    <t>Ca, Francisco</t>
  </si>
  <si>
    <t>Francisco Ca</t>
  </si>
  <si>
    <t>itán primero al Capitán segundo y Ayudante mayor D. Josef Estivil; á este ultimo empleo al Teniente D. Francisco Ca t avaca , y á Teniente á D. Clemente Gerusa, Subteniente de la Compañía fixa de Mallorca. Igualmente ha conferido S. M. Tenencia en el regimiento de caballería del Infante , quart</t>
  </si>
  <si>
    <t>Caballero Santibañez</t>
  </si>
  <si>
    <t>de Octubre el General Gravina, Embaxador de España, ha presentado á S. M. I. al Caballero Santibañez, Secretario de la Embaxada de España; el Conde de Fuentes d’Egmont, Grande de España de primera clase, General al servicio de S. M. Católica; D. Benito Pardo Figueroa, General al servicio de</t>
  </si>
  <si>
    <t>Caballero, Ángel</t>
  </si>
  <si>
    <t>Ángel Caballero</t>
  </si>
  <si>
    <t>............ 141-25 Angel Caballero................... Alíete............................. 14 Tomas Salcedo................... . Toledo.............................. 141-25 Francisco Bravo..........</t>
  </si>
  <si>
    <t>Caballero, Antonio</t>
  </si>
  <si>
    <t>Antonio Caballero</t>
  </si>
  <si>
    <t>entes á los Subtenientes D. Josef de Osorio, de granaderos, graduado de Teniente-, D. Josef Loísel, D. Antonio Caballero, D. Francisco Gatro, D. Narciso Guerra, Don Miguel Cabrera y D. Antonio Hoyos: á Subteniente de granaderos al de fusileros D.JoserArnau: á Subtenientes de Compañía á los agregados</t>
  </si>
  <si>
    <t>Caballero, Manuel</t>
  </si>
  <si>
    <t>Manuel Caballero</t>
  </si>
  <si>
    <t>y D. Pablo Ordobas: para Capitán primero á D. Manuel Tomé, Capitán segundo; y para este al Teniente D. Manuel Caballero. Igualmente ha nombrado S. M. para un empleo de Alférez en el regimiento de caballería de Calatrava , décimo de línea , al Portaestandarte D. Antonio Gallarza. Asimismo ha promovi</t>
  </si>
  <si>
    <t>Cabanillas, Juan</t>
  </si>
  <si>
    <t>Juan Cabanillas</t>
  </si>
  <si>
    <t>Militares al Ayudante, graduado de Capitán , D. Juan Bayon: Tenencia en el de Málaga al Subteniente D. Juan Cabanillas; y Subtenencias de bandera en el propio Cuerpo al Sargento primero L&gt;. Manuel Mayor: en el de Navarra al Cadete del de Reales Guardias Españolas D. Francisco de Aguilera; y en ei</t>
  </si>
  <si>
    <t>Cabattero, Manuel</t>
  </si>
  <si>
    <t>Manuel Cabattero</t>
  </si>
  <si>
    <t>rigada á los Capitanes primeros D, Ramón Calvet y D. Joaquín Cabrer; y á Capitán primero al segundo D. Manuel Cabattero. En América. El Rey se ha servido conferir el empleo de Sargento mayor del regimiento de infantería provincial de Toluca , en el rey no de Nueva España, á D. Juan Sánchez Capay, C</t>
  </si>
  <si>
    <t>Cabeza de Vaca, Vicente</t>
  </si>
  <si>
    <t>Vicente Cabeza de Vaca</t>
  </si>
  <si>
    <t>quinto regimiento del Real Cuerpo de Artillería al Subteniente de infantería deí propio regimiento D. Vicente Cabeza de Vaca; y Conductor de artillería del tercer .regimiento del propio Cuerpo ai Sargento D. Antonio Viscasülas. Deseando S. *M. , por un efecto de su'so'berana¿consideración, conciliar con</t>
  </si>
  <si>
    <t>Cabrera, Francisco</t>
  </si>
  <si>
    <t>Francisco Cabrera</t>
  </si>
  <si>
    <t>egimiento de infantería de Voluntarios de Estado al Comandante del tercer batallón del de la Corona D. Francisco Cabrera: Tenencias en el mismo de la Corona y en los de Murcia y Princesa á los Subtenientes D. Vicente Ximeno , graduado de Teniente, D. Josef Revest y Lassala, D. Manuel de Torres, D.Di</t>
  </si>
  <si>
    <t>Cabrera, Luis</t>
  </si>
  <si>
    <t>Luis Cabrera</t>
  </si>
  <si>
    <t>de las Reales Caballé r izas de la ciudad de Córdoba; y ha concedido grado de Alférez de Milicias á D. Luis Cabrera, Castellano del castillo principal de S. Josef del puerto de Naos de la isla de Lanzarote, una de las Canarias. Para el Gobierno militar y pólítico';dé la isla y plaza de Ibizaba</t>
  </si>
  <si>
    <t>Cabrera, Miguel</t>
  </si>
  <si>
    <t>Miguel Cabrera</t>
  </si>
  <si>
    <t>raduado de Teniente-, D. Josef Loísel, D. Antonio Caballero, D. Francisco Gatro, D. Narciso Guerra, Don Miguel Cabrera y D. Antonio Hoyos: á Subteniente de granaderos al de fusileros D.JoserArnau: á Subtenientes de Compañía á los agregados Don Joaquín Ruj as,D. Francisco González y D. Francisco Diaz,</t>
  </si>
  <si>
    <t>Cabrera, Pedro Agustín</t>
  </si>
  <si>
    <t>Pedro Agustín Cabrera</t>
  </si>
  <si>
    <t>y para una Ración de la Catedral del Cuzco, vacante por muerte de D. Gregorio Sánchez de Cáceres, á D. Pedro Agustín Cabrera, Cura en aquel Obispado. S. M. se ha servido nombrar para el empleo de Ayudante primero del batallón de Milicias disciplinadas de Pardos de Valencia, en la provincia de Venezuela,</t>
  </si>
  <si>
    <t>Cabrera, Vicente</t>
  </si>
  <si>
    <t>Vicente Cabrera</t>
  </si>
  <si>
    <t>n el regimiento de infantería de Zaragoza se ha servido S. M. pro-, mover á Teniente al Subteniente D. Vicente Cabrera. En el regimiento de infantería de Mallorca se ha servido el Rey promover á Teniente al Subteniente de granaderos D. Manuel Josef dé la Rocque y Urrutia; y á Capitán segundo en el</t>
  </si>
  <si>
    <t>Cáceres, Francisco</t>
  </si>
  <si>
    <t>Francisco Cáceres</t>
  </si>
  <si>
    <t>Ingenieros Cosmógrafos de Estado; y Subtenencia de bandera en el de Extremadura al Sargento primero Don Francisco Cáceres. El Rey se ha servido promover á Teniente en el Regimiento de infantería de Soria al Subteniente de granaderos D. Santiago Lobera; y á Subtenientes de bandera en el de Córdoba á D</t>
  </si>
  <si>
    <t>Cacho Calderón, Hemeterio</t>
  </si>
  <si>
    <t>Hemeterio Cacho Calderón</t>
  </si>
  <si>
    <t>isco Tadeo Diez de Medina; y para otra de la Real Audiencia de México, vacante por fallecimiento de D. Hemeterio Cacho Calderón, á D. Josef Arias Villafañe, Alcalde del crimen mas antiguo de ella. En Copenhague, y 4 leguas al rededor de aquella capital de Dinamarca, ha caído, á fines de Mayo próximo pasado</t>
  </si>
  <si>
    <t>Cadet-deVaux</t>
  </si>
  <si>
    <t>ezcla, y quanto mas descubierto quedael número 1 acercándose al cero, de mejor calidad es la leche. Mr. Cadet-deVaux, inventor delgenómetro y glencómetro y de otros instrumentos, ha inventado también este , que puede ser muy útil para conocer los fraudes de los cabreros y demás vendedores dé lec</t>
  </si>
  <si>
    <t>Caffarelli, General</t>
  </si>
  <si>
    <t>General Caffarelli</t>
  </si>
  <si>
    <t>l Príncipe Joset Bonaparte, que iba á toda diligencia á Roma. El dia 24 pasó por la misma ciudad el General Caffarelli con ei encargo, según dicen, de entregar á S. S. pliegos de grande importancia, donde quiera que le encuentre, si hubiere salido de Roma. Venecia 2 de Octubre. Uno de nuestros buq</t>
  </si>
  <si>
    <t>res. El Santo Padre ha sancionado la decisión de la dicha congregación. Antes de ayer llegó aquí el General Caffarelli, y ya ha tenido audiencia del Santo Padre. El lunes 24 de este mes se celebró un consistorio secreto , en el que ha nombrado S. S. para varias Mitras, y entre otras, para la de Cr</t>
  </si>
  <si>
    <t>la noche, se ha observado igualmente aquí el mismo día, y á la misma hora. Bttrin 18 de Octubre. El General Caffarelli se halla aquí de vuelta de Roma. Ya se sabe de cierto que S. S. saldrá de allí el 3 de Noviembre j y llegará á Turin el 36. Acompañarán al Santo Padre 5 Cardenales, 4 Príncipes Ro</t>
  </si>
  <si>
    <t>Cagigal, Juan Manuel</t>
  </si>
  <si>
    <t>Juan Manuel Cagigal</t>
  </si>
  <si>
    <t>erno militar y político de Cumaná, en la provincia de Venezuela, al Brigadier D.Juan Manuel Cagigal, Teniente de Rey de la plaza de Caracas , y Comandante de aquel batallón veterano. La Real Academia del Derecho Español en junta general de 20 de Diciembre próximo pasado, ha adjudicado una</t>
  </si>
  <si>
    <t>Caillard</t>
  </si>
  <si>
    <t>ios Franceses. Mr. d* Erenheim , Ministro de Negocios extrangeros , ha entregado el 7 de este mes á Mr. Caillard, Encargado de Negocios de Francia, una nota, en que, recordando un artículo inserto en el Monitor de 14 de Agosto, declara que desde ahora cesa toda comunicación entre nuestro Mi</t>
  </si>
  <si>
    <t>l Ministro dé Estado Mr. de BernstorfF ha vuelto ya de su viage á Holstein. Ha pasado por aquí ayer Mr. Caillard, Enviado de Franca en Stockolmo, y proseguirá su camino á Berlín. ; HUNGRIA. Semlin 12 de Setiembre. Xñs condiciones de paz propuestas por los sublevados de la Servia son la sigui</t>
  </si>
  <si>
    <t>CailLard</t>
  </si>
  <si>
    <t>arstrand; pero se ha salvado la tripulación. SUECIA. Stockolmo 2$ de Setiembre. El 16 del corriente Mr. CailLard, Encargado de Negocios de Francia, pidió sus pasaportes al Presidente de la Cancillería, los que se le enviaron inmediatamente. Salió de aquí el 17 por la noche. ALEMANIA. Uamburg</t>
  </si>
  <si>
    <t>Cáilos Pe</t>
  </si>
  <si>
    <t>Capitán primero al de granaderos D. Josef Barmetler; y á Subteniente de granaderos al de íasiieros D. Cáilos Pe&gt;er: en el de Courten á Subtenientes de granaderos á los de fusileros D. Pedro Gueraty y D. Pedro Botta. En ¡os Regimientos de Milicias provinciales se ha dignado el R ey promover</t>
  </si>
  <si>
    <t>Caíssotri-Chiusaro</t>
  </si>
  <si>
    <t>evista de 3 de este mes , concluye con un elogio al gefe del gobierno. El autor de este ■ soneto es Mr. Caíssotri-Chiusaro * miembro deL Cuerpo legislativo por el. departamento deL Stura„ CUERPO XEGtSEATXVOf. En la junta del 13: de este mes eL ciud. Danel,.de Lila * presentó á nombre de esta ciudad un</t>
  </si>
  <si>
    <t>Caívo, Juan Félix</t>
  </si>
  <si>
    <t>Juan Félix Caívo</t>
  </si>
  <si>
    <t>de la Catedral de Málaga, vacante por promoción de t&gt;. Dionisio Muñoz Nadales á Canongía de ella, á D. Juan Félix Caívo; y. para el Beneficio simple servidero de la Parroquia de Linares, en la Diócesi de Jaén, vacante por muerte de D. Cosme Fernando de Medina , á D. Gumersindo Fernandez de Moratins</t>
  </si>
  <si>
    <t>Calan, Vicente</t>
  </si>
  <si>
    <t>Vicente Calan</t>
  </si>
  <si>
    <t>do promover en el Regimiento de infantería, de Córdoba á Subteniente de bandera al Sargento primero D. Vicente Calan: en el de Zaragoza á Ayudante al Teniente, graduado de. Capitán, D. Josef de Ortega; y á Subtenientes al Sargento primero de granaderos D. Cristóbal Hernández y al Cadete D. Josef</t>
  </si>
  <si>
    <t>Calcina, Francisco</t>
  </si>
  <si>
    <t>Francisco Calcina</t>
  </si>
  <si>
    <t>cio de la parroquia de' Figueras, diócesis de Gerona, vacante por muerte de D. Francisco Basedas, á D. Francisco Calcina; y para otro Beneficio de la parroquia de Tordera, en la propia dmces.s .vacante por fallecimiento de D. Antonio Campderas, a B. Francisco Manellay Surroca. El Rey se ha servido p</t>
  </si>
  <si>
    <t>a parroquia de Figueras, en la propia diócesi, vacante por fallecimiento de D. Francisco Basedas, á D. Francisco Calcina. En la Compañía Americana del Real cuerpo de Guardias de Corps se ha servido S. M. promover á Exento de número al Supernumerario Don Josef Azcutia; y á Supernumerario al Cadete D.</t>
  </si>
  <si>
    <t>Calcraft</t>
  </si>
  <si>
    <t>zas. El primer Ministro propuso la segunda lectura del bilí para la'defensa nacional suplementaria. Mr. Calcraft, uno de los vocales que "en el dia se distingue mas en la oposición, se opuso el primero á esta propuesta del Ministro. Este vocal, y los demas de la misma Opinión que le siguiero</t>
  </si>
  <si>
    <t>Calderón Bravo, Alonso</t>
  </si>
  <si>
    <t>Alonso Calderón Bravo</t>
  </si>
  <si>
    <t>del Camino, y el Beneficio simple de S. Pedro de la Hoz, en el Arzobispado de Burgos, por muerte de D. Alonso Calderón Bravo, á D. Marcelino Robles y Cosío , Cura del lugar de Canduela, en el mismo Arzobispado; y para el Beneficio simple de Santa María de Anayo, en la Diócesi de Oviedo, por fallecimient</t>
  </si>
  <si>
    <t>Calderón Henríquez de Cisneros, Tomás</t>
  </si>
  <si>
    <t>Tomás Calderón Henríquez de Cisneros</t>
  </si>
  <si>
    <t>ia, al Dr. D.. Manuel Martínez del Campo , con reserva de la pensión anual de 600 ducados áTavor de Don Tomas Calderón Henríquez de Cisneros; y el Arcedianato de Palenzuela , dignidad de Ja iglesia arzobispal de Burgos, ynias tres reservadas á la Santa Sede , á D- Nicolás Rodríguez , Arcediano de Valiadolid, cofl 300 d</t>
  </si>
  <si>
    <t>Calderón, Diego Santiago</t>
  </si>
  <si>
    <t>Diego Santiago Calderón</t>
  </si>
  <si>
    <t>re sus parientes pobres, dentro de quarto grado, los de su marido D. Sebastian de Silíceo, y los de D. Diego Santiago Calderón, dentro del propio grado; é ignorándose quienes sean legítimamente, se les cita, llama y emplaza, para que dentro del preciso y perentorio término de 30 dias contados desde el i.°</t>
  </si>
  <si>
    <t>Calleja, Gerónimo</t>
  </si>
  <si>
    <t>Gerónimo Calleja</t>
  </si>
  <si>
    <t>vacado en ella, en virtud de lo dispuesto por el plan general beneficial de la referida Diócesi, á D. Gerónimo Calleja, con ia obligación de residencia personal y demas cargas que tiene anexas: para otro , vacante en la parroquia de Villaseca, Diócesi de Tarragona, baxo la invocación de S. Bartolo</t>
  </si>
  <si>
    <t>Calleja, Juan</t>
  </si>
  <si>
    <t>Juan Calleja</t>
  </si>
  <si>
    <t>r Compañía en el regimiento de infantería de Burgos al Teniente de granaderos, graduado de Capitán, D. Juan Calleja ; y el empleo de Coronel del regimiento suizo de Yann -vacante al Coronel D. Jorge Traxler , Teniente Coronel del mismo cuerpo. En el Real cuerpo de Artillería se ha dignado S. M.</t>
  </si>
  <si>
    <t>Calonge, Nicolás</t>
  </si>
  <si>
    <t>Nicolás Calonge</t>
  </si>
  <si>
    <t>ia............ Sres. Moreda y Ladalid. En Oviedo..............D. Manuel Rubiano. En Palenda........ D. Nicolás Calonge é hijo. En Palma........... D. Martin Mayol. En Pamplona........Sres. viuda de Barbería é hijo. En Salamanca...... Sres. LTrrero y Casaseca. En Santander....... Sres. Vial é nijo</t>
  </si>
  <si>
    <t>urcia...........Sres. Moreda y Ladalíd. En Oviedo............ D. Manuel Rubiano. En Palenda.........D. Nicolás Calonge é hijo. En Palma............ D. Martin Mayol. En Pamplona....... Sres. viuda de Barbería é hijo. En Salamanca......Sres. Urrero y Casaseca. En Santander.......Sres. Vial e hijo y</t>
  </si>
  <si>
    <t>Calvet, Juan</t>
  </si>
  <si>
    <t>Juan Calvet</t>
  </si>
  <si>
    <t>J 66 Riera á Canongía de la misma iglesia, n D. Juan Calvet: para otra Ración de la colegial de Sar. tillaría , ó ce5is de Santander, por fallecimiento de D. Francisco Tagle Íi*.:yLarnaute, á D. Ignacio Sainz de la Peña, Cura Párroco del í</t>
  </si>
  <si>
    <t>Calvet, Ramón</t>
  </si>
  <si>
    <t>Ramón Calvet</t>
  </si>
  <si>
    <t>Ingenieros del exérclto ha promovido S. M. á Sargentos mayores de brigada á los Capitanes primeros D, Ramón Calvet y D. Joaquín Cabrer; y á Capitán primero al segundo D. Manuel Cabattero. En América. El Rey se ha servido conferir el empleo de Sargento mayor del regimiento de infantería provincial</t>
  </si>
  <si>
    <t>Calvo de la Cantera, Lorenzo</t>
  </si>
  <si>
    <t>Lorenzo Calvo de la Cantera</t>
  </si>
  <si>
    <t>l cuerpo de Artillería ; y para la que quedó vacante en la catedral de Cuenca, por fallecimiento de D. Lorenzo Calvo de la Cantera , á D. Antonio Prieto, Cura castrense actual de la parroquia de Cádiz , en consideración á sus servicios, y conforme al reglamento de 30 de Enero último. También se ha servido el</t>
  </si>
  <si>
    <t>Calvo de Rozas, Ramón</t>
  </si>
  <si>
    <t>Ramón Calvo de Rozas</t>
  </si>
  <si>
    <t>antigüedad que tiene en la plaza del crimen de la Audiencia de Valencia; y para sucederle en ella a D. Ramón Calvo de Rozas. En América. S. M. se ha servido nombrar para una Ración de la metropolitana de Charcas á D. Juan de Dios Balanza: para la Media-Ración que este dexa á D. Domingo Mariano Guerra,</t>
  </si>
  <si>
    <t>Calvo García, Miguel</t>
  </si>
  <si>
    <t>Miguel Calvo García</t>
  </si>
  <si>
    <t>, en providencia de 6 del corriente, refrendada del Escribano de cámara de la Sala y de la comisión D. Miguel Calvo García, se ha señalado para celebrar junta general de acreedores de dicho Sr. Marques, que tengan legitimados y reclamados</t>
  </si>
  <si>
    <t>Calvo, Francisco</t>
  </si>
  <si>
    <t>Francisco Calvo</t>
  </si>
  <si>
    <t>nso Ramírez , D. Antonio Osorio, D. Manuel Alyarez, D. Bartolomé Pita Daveyga, D. Luis de los Ríos, D. Francisco Calvo, D. Luis Perez del Camino, D. Gonzalo Gómez, D. Antonio Quintano, D. Josef Montaibo, D. Pedro García, Don j» an de San Llórente, D. Manuel Pardo Rivadeneyra, D. Josef de Miranda,</t>
  </si>
  <si>
    <t>Camacho, Bartolomé</t>
  </si>
  <si>
    <t>Bartolomé Camacho</t>
  </si>
  <si>
    <t>onel D. Josef Francisco de Veitia, Capitán del mismo cuerpo; á Capitán al Subteniente de granaderos D. Bartolomé Camacho; á Subteniente de granaderos ai de fusileros D. Mateo de Cárdenas, y á Subteniente de bandera al Cadete D. Juan de Cueliar y Zaldivar. - — ; — ---- ■------- :------- -—~—-—-rrrr r</t>
  </si>
  <si>
    <t>Camacho, Joaquín</t>
  </si>
  <si>
    <t>Joaquín Camacho</t>
  </si>
  <si>
    <t>ngo Cándano, D. Jjjnsjw (Castañeda, D. Francisco Barceló, D. Juan Varona, D. Josef IVÍo ota lleda , D. Joaquín Camacho, Don Juan Martínez, D. Ramón Amaya , E3. JflosefSuarez , D. Pedro del Barco, D. Pedro Nuñez, D. Manuel Kcdriggn§^&lt;» D. Juan Josef Murrieta, Don Francisco Spínola, D. Juan Ulloa.,</t>
  </si>
  <si>
    <t>Camarero, Francisco</t>
  </si>
  <si>
    <t>Francisco Camarero</t>
  </si>
  <si>
    <t>a conferido S. M. Tenencia en el regimiento de caballería del Infante , quarto de línea, al Alférez D. Francisco Camarero. El Rey se ha servido nombrar para el Corregimiento de letras de la ciudad de la Coruña á D. Fernando León Benavides: para el de la de Palencia á D. Josef Guillen de Toledo: para</t>
  </si>
  <si>
    <t>Camargo, Juan</t>
  </si>
  <si>
    <t>Juan Camargo</t>
  </si>
  <si>
    <t>Godinez Paz. En el Real cuerpo de Ingenieros del exército ha nombra do S. M. Tenientes Coroneles á D. Juan Camargo, graduado de Teniente Coronel, y D. Tomas Rifa, Sargentos mayores de Brigada: para este em-. pleo á los Capitanes primeros D. Francisco Mendizaval y D. Pablo Ordobas: para Capitán</t>
  </si>
  <si>
    <t>Cambaceres, Cardenal</t>
  </si>
  <si>
    <t>Cardenal Cambaceres</t>
  </si>
  <si>
    <t>o la sentencia. Rúan 20 de Febrero, El Prefecto del Sena-I/iferior ha escrito la carta siguiente al Cardenal Cambaceres„, Arzobispo deRuan._ „ El Prefecto tiene el honor de rer presentar.á JEma., que la mayor parte de los comestibles se hallan4</t>
  </si>
  <si>
    <t>Cambden, Lord</t>
  </si>
  <si>
    <t>Lord Cambden</t>
  </si>
  <si>
    <t>xtracto de una carta del Gobernador de Ceylan, con fecha de i.° de Enero de 1804, comunicada por el Lord Cambden á ia Sl ciéda a Jeneriana. ,, Miéntras que los Médicos han seguido el exército en Candy, por desgracia se suspendió en 2lgun modo la vacunación; y esta benéfica práctica llegó á d</t>
  </si>
  <si>
    <t>Cambre, Fernando Antonio</t>
  </si>
  <si>
    <t>Fernando Antonio Cambre</t>
  </si>
  <si>
    <t>rez y Fernandez, y al de fusileros D. Ramón Duran; á Tenientes á los Subtenientes D. Manuel Parodi, D. Fernando Antonio Cambre y D. Josef López Portillo; á Subteniente de granaderos ál Cadete D. Manuel Estrada; á Subtenientes dé fusileros á los Cadetes D. Josef Félix Pedraja, D. Antonio Ladrón dé Guevara, D.</t>
  </si>
  <si>
    <t>Camino, Manuel</t>
  </si>
  <si>
    <t>Manuel Camino</t>
  </si>
  <si>
    <t>i4i-25 Manuel Camino.................... Menasalbas...................... 141-25 Juan del Valle..................... Puebla nueva................. 14!..25 Eugenio González..............</t>
  </si>
  <si>
    <t>Camó, Francisco</t>
  </si>
  <si>
    <t>Francisco Camó</t>
  </si>
  <si>
    <t>la Real Junta general de Comercio,Moneda y Minas, se manda convocar á los acreedores al concurso de D. Francisco Camó, del comercio de la ciudad de Bar</t>
  </si>
  <si>
    <t>Campana, Manuel</t>
  </si>
  <si>
    <t>Manuel Campana</t>
  </si>
  <si>
    <t>algodón al por mayor, bien sean, de comisos vendidos en la Aduana, ó procedentes de la comisión de D. Manuel Campana, los vendan desde luego á la Compañía de Filipinas; y si no Ies acomodase los extraigan á América dentro de un mes , contado desde la publicación de esta ordjen: bien entendido qu</t>
  </si>
  <si>
    <t>Campbell, Almirante</t>
  </si>
  <si>
    <t>Almirante Campbell</t>
  </si>
  <si>
    <t>ando se daban gracias al primero y al tercer Comandante de la esquadra. Elogia igualmente al Contra-Almirante Campbell, y concluye hablando de ellos de este modo: ,,Hemos pasado juntos los trabajos y el cuidado que exige una campaña de 14 meses en el mar, y estamos prontos á participar de la glori</t>
  </si>
  <si>
    <t>Campderas, Antonio</t>
  </si>
  <si>
    <t>Antonio Campderas</t>
  </si>
  <si>
    <t>para otro Beneficio de la parroquia de Tordera, en la propia dmces.s .vacante por fallecimiento de D. Antonio Campderas, a B. Francisco Manellay Surroca. El Rey se ha servido promover a Brigadier de sus. exerotos a Don Gregorio Petit, que era Exento de la Compañía Flamenca de Reales GU En'la propia</t>
  </si>
  <si>
    <t>Campo Redondo, Francisco</t>
  </si>
  <si>
    <t>Francisco Campo Redondo</t>
  </si>
  <si>
    <t>r , D. Josef Saravia y D. Joaquín Góngora, y á Tenientes á los Subtenientes D. Bartolomé Gutiérrez, D. Francisco Campo Redondo, D. Antonio Rodriguez de Toro, D. Amadeo de Mora, D. ídatias Moñino y D. Luis García Piña. En los regimientos provinciales se ha servido S. M. promover á Capitán de granaderos del</t>
  </si>
  <si>
    <t>Campo Redondo, Pedro</t>
  </si>
  <si>
    <t>Pedro Campo Redondo</t>
  </si>
  <si>
    <t>ple de Regla de Corlas por fallecímieruo de D. Pedro de la Santa, y para el de Arles, por muerte de D. Pedro Campo Redondo, ambos en el obispado de Oviedo, á D. Valentín del Rio: para el Beneficio simple servidero de la parroquia de la villa de Nava de Roa, diócesis de Osma* vacante por muerte de D. M</t>
  </si>
  <si>
    <t>Campos, Blas</t>
  </si>
  <si>
    <t>Blas Campos</t>
  </si>
  <si>
    <t>........... 141..25 Blas Campos...................... Cet.Fa............................ 141. •25 Francisco Rodríguez........... Puebla.............................. 141..25 Josef \rroyo....... .......</t>
  </si>
  <si>
    <t>Campos, Ramón</t>
  </si>
  <si>
    <t>Ramón Campos</t>
  </si>
  <si>
    <t>ita............... . , Santiago de Sargadelos— J41..25 D. Miguel Pelaez.Capitán,, Asturias, 2904-25 D. Ramón Campos.... Badajoz.-.......... ................. Antonio Rebolloso, Sargen­ Francisco Martin....... lorrede las Arcas.......... 141-25 to primero......................... Sufli—.........</t>
  </si>
  <si>
    <t>exercicio del pensamiento, ó teórica de los principios y efectos de todos los idiomas posibles: por D. Ramón Campos. En esta obrita, de pocas páginas y de muchas ideas, se trata por un modo nuevo y original dél primer aspecto de los idiomas; se prueba que el pensamiento por su naturaleza es inc</t>
  </si>
  <si>
    <t>Campuzano, Francisco</t>
  </si>
  <si>
    <t>Francisco Campuzano</t>
  </si>
  <si>
    <t>os exámenes practicados en Segovia. ■En consideración á los apreciables y distinguidos servicios de Don Francisco Campuzano, del Consejo de S. Al., su Secretario con exercicio de Decretos, y Oficial de la Secretaría de Estado y del Despacho de Marina, ha venido el Rey en conferirle el Gobierno de las a</t>
  </si>
  <si>
    <t>Campuzano, Joaquín Bernardo</t>
  </si>
  <si>
    <t>Joaquín Bernardo Campuzano</t>
  </si>
  <si>
    <t>a de Oidór, á D. Juan Collado: para la de Oidor que este dexa en la de Guatemala al de Buenos-Ayres D, Joaquín Bernardo Campuzano *, y para esta resulta á D. Manuel Josef de Reyes, electo Oidor de la de Manila. El dia 3 del corriente falleció en el pueblo del Nuevo Bastan, de edad de 74 años, el limo. Sr. D.</t>
  </si>
  <si>
    <t>Camus</t>
  </si>
  <si>
    <t>en 400® francos, encalló cerca de Calais. Hemos tomado el buque, y hecho prisionera la tripulación. Mr. Camus, miembro de la Asamblea constitutiva y de la Convención, murió ayer de un ataque de apoplexía. Hace dos meses que se había roto una pierna, de lo que aun no estaba restablecido. E</t>
  </si>
  <si>
    <t>Canalejo, Nicolás</t>
  </si>
  <si>
    <t>Nicolás Canalejo</t>
  </si>
  <si>
    <t>se ha dignado promover á Subtenientes de bandera del regimiento de infantería de Cuba á los Cadetes D. Nicolás Canalejo y D. Juan Presno y Aguilar, y á los Sargentos primeros de granaderos D. Justo López y D. Francisco de Paula Cruz. También ha nombrado S, M. Ayudante mayor del regimiento de Milicias d</t>
  </si>
  <si>
    <t>Cañavate, Fernando</t>
  </si>
  <si>
    <t>Fernando Cañavate</t>
  </si>
  <si>
    <t>as de Granada..^. Primeras letras. i.°: D. Francisco Cuadrado: Torio, Arte grande de escribir. 2.0: D. Fernando Cañavate: Torio , Compendio Ortografía castellana, Moneda, Expedición.___Rudimentos de gramática castellana y latina. i.°: D. Manuel María Villavicencio: Diccionario de la lengua castellan</t>
  </si>
  <si>
    <t>Canciller, Lord</t>
  </si>
  <si>
    <t>Lord Canciller</t>
  </si>
  <si>
    <t>rato en su jardín, y dio audiencia á Mr. Addington. En la junta de la Cámara de los Pares del 5, el Lord Canciller comunicó á S. S. que el dia anterior había tenido la honra de hablar con S. M., á quien había visto también este dia. . De orden del Secretario de Estado:se ha* puesto embargo sob</t>
  </si>
  <si>
    <t>ques de Statíord, sobre la defensa del rey no, hasta el viernes próximo 11 , por haber observado el Lord Canciller que esta discusión era mas intempestiva ahora que las otras veces en que se difirió___ La propuesta de Mr. Fox en la Cámara de los Comunes, dei ^misino dia, se ha diferido hasta e</t>
  </si>
  <si>
    <t>nto y ambición , que amenazan las naciones todavía independientes en el continente.—* En seguida el Lord Canciller dixo, de orden de S. M., que el Parlamento quedaba prorogado hasta el 4 de Setiembre próximo. SUIZA. Lausana gr de Julio. A tiempo que ciertas comarcas se hallan devoradas por la</t>
  </si>
  <si>
    <t>th de los navios donde estaban custodiados, y se ha enviado á Exéter y á otros parages. El lunes el Lord Canciller visitó á Mr. Pitt, y á las 2 de la tarde hur bo Consejo de Gabinete en el despacho del. Lord Harrowby, al qual asistieron el Lord Canciller, el Conde de Cambden, Lord Harrowby:, L</t>
  </si>
  <si>
    <t>Cándamó, Pedro</t>
  </si>
  <si>
    <t>Pedro Cándamó</t>
  </si>
  <si>
    <t>over á Témidnte Coronel al-Gefé dé Brigada D. Juan Munarriz; á: Gefé de Brigada ai Capítsn; primero D. Pedro Cándamó; á Capitanes primeros á los segundos D. Juan Moscoso y D. Manuel Velasco, y á Capitanes 'segundos á ios Tenientes D. Antonio Melgarejo y D. Manuel Gib deda Torre. S, M. se ha ^erv</t>
  </si>
  <si>
    <t>Cándano, Domingo</t>
  </si>
  <si>
    <t>Domingo Cándano</t>
  </si>
  <si>
    <t>de Landa, D. Pedro Olea, D. Manuel Enna , D. Alonso Illlaipa, D. Josef León, D. Ildefonso Fonseca , D. Domingo Cándano, D. Jjjnsjw (Castañeda, D. Francisco Barceló, D. Juan Varona, D. Josef IVÍo ota lleda , D. Joaquín Camacho, Don Juan Martínez, D. Ramón Amaya , E3. JflosefSuarez , D. Pedro del Ba</t>
  </si>
  <si>
    <t>Cándido Becerril</t>
  </si>
  <si>
    <t>todo breve, y en idioma castellano, para su mayor y mas fácil inteligencia: po«r el Lector jubilado D. Cándido Becerril, Abad que ha sido en su colegio de S. Basilio Magno de la ciudad de Alcalá de Henares, y Examinador Sinodal dél arzobispado de Toledo. Véndese ¿4 rs. en las porterías de S. Basili</t>
  </si>
  <si>
    <t>Cándido Elgueta</t>
  </si>
  <si>
    <t>de Teniente Coronel, y D. Cándido Elgueta, graduado de Corone!;, y á Gefes de brigada á los Capitanes primeros D. Josef Worster y D. Luis Ibarroia. Asimismo se ha servido el Rey conceder en el regimiento de caballería de</t>
  </si>
  <si>
    <t>Cándido María Trigueros</t>
  </si>
  <si>
    <t>n Valladolid en la de Santander. Teatro español burlesco, ó Quixote de los teatros: obra postuma de D. Cándido María Trigueros, de mucha instrucción y muy divertida para los aficionados. Véndese en la librería de Castillo, frente á las gradas de S. Felipe. EN LA IMPRENTA REAL.</t>
  </si>
  <si>
    <t>Cañete, Diego</t>
  </si>
  <si>
    <t>Diego Cañete</t>
  </si>
  <si>
    <t>tedral*, para la Dignidad de Pr ior de la colegial de S. Hipólito de Córdoba, vacante por muerte de D. Diego Cañete, á D. Juan Ramón Gómez Mayoral, Canónigo de la misma, con dimisión *de la Canóñgíá: para úna Canongía de la propia colegial ,* vacante por'promoción* dé D. Josef Antonio Priego á</t>
  </si>
  <si>
    <t>Cano Manuel, Antonio</t>
  </si>
  <si>
    <t>Antonio Cano Manuel</t>
  </si>
  <si>
    <t>sonas en quienes puedan haber recaido sus derechos, se ha mandado, en 24 de Mayo último, por el Sr. D. Antonio Cano Manuel, del Consejo de S. M., y Alcalde de su Real casa y corte, como Juez que conoce del concurso de D. Francisco Soro Vil’anueva, se les cite y emplace por medio de la gazeta, sin perj</t>
  </si>
  <si>
    <t>rs. Quien quisiere hacer postura al todo de dichas fincas, ó qualquicra de ellas, acuda ante el Sr. D. Antonio Cano Manuel, del Consejo de S. M., su Alcalde de Casa y Corte, á quien está cometida dicha Real facultad, y escribanía de provincia de D. Pedro de Valladares, ó ante las respectivas Justicias</t>
  </si>
  <si>
    <t>misma Subdelegacion general, sita en la-casa Dirección general de Correos.. Por el juzgado del Sr. D. Antonio Cano Manuel, del Consejo de S. M., Alcalde de su Real casa y corte, y escribanía de provincia, que cxerce D. Julián Alonso y Estrada,, penden los autos de la quiebra de la casa titulada D. Ju</t>
  </si>
  <si>
    <t>a este anuncio por término de 20 dias, para que el que quiera mejorarlas, acuda ante el Sr. Alcalde D. Antonio Cano Manuel, á quien está concedida dicha Real facultad, y por 1* escribanía de Provincia de D. Pedro de Valladares, que se admitirán las que se hagan, no siendo manos muertas. Por providenci</t>
  </si>
  <si>
    <t>su Real y Supremo Consejo de la Cámara de Castilla, cometida al Sr. Alcalde de su Real Casa y Corte D. Antonio Cano Manuel, se han sacado á pública subasta para su venta las fincas, que, coa expresión de sus situaciones y justiprecios, son á saber: la vega de Alcolea y tierras adyacentes, denominadas</t>
  </si>
  <si>
    <t>Cano, Francisco Antonio</t>
  </si>
  <si>
    <t>Francisco Antonio Cano</t>
  </si>
  <si>
    <t>ubilano: para la Ración que obtenía al Medio-Racionero D. Miguel Diaz Rábago; y para esta resulta á D. Francisco Antonio Cano, Cura del Vallé de Santiago en aquella diócesis. Eri el regimiento de infantería de la Havana se ha servido el Rey conferir la Tenencia Coronela al Coronel D. Josef de Sastre, Com</t>
  </si>
  <si>
    <t>Cano, Manuel</t>
  </si>
  <si>
    <t>Manuel Cano</t>
  </si>
  <si>
    <t>.......... . 141-25 Manuel Cano........................ S. Pablo....................•...... 141-25 Juan Rubio........ ..... Ajofrin............................ 141..25 Antonio Bonilla..........</t>
  </si>
  <si>
    <t>Cano, Vicente</t>
  </si>
  <si>
    <t>Vicente Cano</t>
  </si>
  <si>
    <t>............ 141-25 Vicente Cano................ ...... Solana................... -......... 14 Francisco Peña-.................. Puente Bruces.................. 141-25 Josef Iniesto.............</t>
  </si>
  <si>
    <t>Canon, Pedro</t>
  </si>
  <si>
    <t>Pedro Canon</t>
  </si>
  <si>
    <t>........... 14!..25 Pedro Canon........................ Torrijos............................ 141-25 5.a DEL 2.° Miguel Mena........................ Nava moral de Pusa........ 141-25 F</t>
  </si>
  <si>
    <t>CanoUrbaneja, Rafael</t>
  </si>
  <si>
    <t>Rafael CanoUrbaneja</t>
  </si>
  <si>
    <t>los Regimientos de infantería de Sevilla y Ordenes Militares á los Tenientes, graduados de Capitán, D. Rafael CanoUrbaneja y D. Angel Bayon: Tenencias en los de Murcia y Extremadura á los Subtenientes D. Marcos. Márquez y D. Josel Cervino; y Subtenencias de bandera en los de Zamora y Málaga á los Cadetes</t>
  </si>
  <si>
    <t>Cantero y Acosta, Tomás</t>
  </si>
  <si>
    <t>Tomás Cantero y Acosta</t>
  </si>
  <si>
    <t>D. Mariano Zorraquin,D. Miguel Antonio de Toledo y Estrada , D. Rafael de Molina, D. Josef Oliver, D. Tomas Cantero y Acosta, D. Juan Antonio Escalante, y D. Josef Antonio Quirds..,</t>
  </si>
  <si>
    <t>Cantío Montenegro, Luis</t>
  </si>
  <si>
    <t>Luis Cantío Montenegro</t>
  </si>
  <si>
    <t>nte Sancheg, !&gt;•' Joaquín de la Cruz, Don Rafael del Barrio , D. Joaquín Viado, D. Ignacio OrdoVas, D. Luis Cantío Montenegro y D. Miguel Santiilana. Por el Exento. £r. Conde de Montarco , Gobernador del Consejo, se ha comunicado &gt; con fecha-de 24'de Mayo &gt; la orden siguiente : .: »,Continuando el'Rey'incesa</t>
  </si>
  <si>
    <t>Capilla, Sebastián</t>
  </si>
  <si>
    <t>Sebastián Capilla</t>
  </si>
  <si>
    <t>14!.,25 Sebastian Capilla.................. Albahte......... .............. *41-25 Juan Calvo........................... Argete..................... . 14 1 • •15 Jayme Ferrer...........</t>
  </si>
  <si>
    <t>Capodistria, Antonio (conde)</t>
  </si>
  <si>
    <t>Conde Antonio Capodistria</t>
  </si>
  <si>
    <t>ipe, primer magistrado de la República, recayó en el Conde Antonio Comuto , y las de Censores en el Conde Antonio Capodistria, Conde Juan Sicuro y Nicolás Migliaressi. • El 25 tomó posesión el Senado. El Cuerpo legislativo, á quien la constitución atribuye esta función, pasó con los miembros del nuevo Se</t>
  </si>
  <si>
    <t>Capodistrii, Juan (conde)</t>
  </si>
  <si>
    <t>Conde Juan Capodistrii</t>
  </si>
  <si>
    <t>rsburgo &lt;T de Abril. S. M. el Emperador ha promovido á Consejero de colegio al Secretario de Estado Conde Juan Capodistrii, agregado ai Conde Mocenigo, Ministro plenipotenciario cerca de la República de las Siete-Islas, en premio de los señalados servicios que ha hecho en la organización de aquella nu</t>
  </si>
  <si>
    <t>Caprará, Cardenal</t>
  </si>
  <si>
    <t>Cardenal Caprará</t>
  </si>
  <si>
    <t>spondido los Ministros extrangeros manifestando el sentimiento q|ue les-Ha causado está noticia* El Cardenal Caprará respondió en estos términos: Exorno. Sr. : con. la carta de y. E. dej 24 del corriente he recibido el exemplar del informe que ha presentado el.Juez mayor aiiprimer Cónsul sobre u</t>
  </si>
  <si>
    <t>Caprara, Cardenal</t>
  </si>
  <si>
    <t>Cardenal Caprara</t>
  </si>
  <si>
    <t>que los jueces examinen, con el rigor de la ley, los vicios imputados en los procesos. Su Erna., el Cardenal Caprara, legado a latere, ha dirigido una carta á los Obispos de Francia, con fecha de 9 del corriente, que dice en substancia: „ Monseñor, habiendo sido establecido Napoleón Bonaparte Em</t>
  </si>
  <si>
    <t>los introductores de Embaxadores , á S.. M. el Emperador y á la Emperatriz , es. el siguiente : el Cardenal Caprara , Legado d latere de S.. S., fue presentado después de oir misa SS. MM. El Excmo. Sr.. D. Federico Gravina, Embaxador de S. M. Católica, fué presentado después de la gran parada ;</t>
  </si>
  <si>
    <t>S. M. la-Reyna Regente de Erruria. Al concluirse la ceremonia del domingo 15 del corriente el Hmo. Cardenal Caprara, Legado de S. S., se acerco al trono, y recibió de mano de S. M. L ,la; condecoración de miembro de la Legión de honor. El Abate Pradt, sobrino del difunto Cardenal de la Rochefou</t>
  </si>
  <si>
    <t>inebleau, por entre la tropa que estaba tendida, y oyéndoselas salvas de la artillería. S. Erna. el Cardenal Caprara', y los grandes Oficiales del palacio del Emperador los recibieron en el zaguanete. El Emperador y el Papa subieron juntos por la escalera dorada, hasta la pieza que separa sus hab</t>
  </si>
  <si>
    <t>Caracciolo, Cardenal</t>
  </si>
  <si>
    <t>Cardenal Caracciolo</t>
  </si>
  <si>
    <t>ITALIA. Roma 2$ de Setiembre. En la última congregación de sagrados Ritos ha propuesto S. Erna, el Cardenal Caracciolo la beatificación del R. P. Angel Antonio Sandreani, Sacerdote del orden de los Menores. El Santo Padre ha sancionado la decisión de la dicha congregación. Antes de ayer llegó aquí el</t>
  </si>
  <si>
    <t>Caralina Micaela de Sousa César y Lancáster</t>
  </si>
  <si>
    <t>de heredad , de varias tierras, declarando que las disfrutará por su vida la Vizcondesa de Balsamao Doña Caralina Micaela de Sousa César y Lancáster, su muger; y al mismo tiempo concede á su hijo primogénito la Alcaldía mayor del castillo Mendo, y la encomienda de Lordelo de Duero; y á su hijo segundo le hace merced de plaza e</t>
  </si>
  <si>
    <t>Carasa, Francisco</t>
  </si>
  <si>
    <t>Francisco Carasa</t>
  </si>
  <si>
    <t>a y Don Agustín García, el primero graduado de Coronel; y el de Teniente Coronel ál-gefe de brigada D. Francisco Carasa&gt; ■--&lt; . En el Real cuerpo de Ingenieros del i.exército se ha servido el Rey promover árTenlentes-A los .Subtenientes; B,i Blas Manuel Teruel, Don Jóséf Armendariz, JE).'iAntonio'R</t>
  </si>
  <si>
    <t>Carasusan, Bernardo</t>
  </si>
  <si>
    <t>Bernardo Carasusan</t>
  </si>
  <si>
    <t>una Ración de la deTudela, por promoción de D. Antonio Francisco Yanguas á Canongía de la misma, á D. Bernardo Carasusan: para una Capellanía de número de la de Santo Domingo de la Calzada, por muerte de D. Felipe Mayor, á D. Román García: para una Ración de la Colegial, de Cascante, en el Reyno de</t>
  </si>
  <si>
    <t>Caravallo y Goyeneche, Vicente</t>
  </si>
  <si>
    <t>Vicente Caravallo y Goyeneche</t>
  </si>
  <si>
    <t>regimiento de dragones de Buenos-Ayres se ha servido el Rey promover á Capitán efectivo al agregado D. Vicente Caravallo y Goyeneche; á Ayudante al-Teniente D. Juan Manuel Marín; á Tenientes á los Alféreces D. Manuel Perez, D. Antonio Perez, D. Blas Pintos y D. Juan Bartolomé Rondeau; á Alféreces á los Portagui</t>
  </si>
  <si>
    <t>Caraves, Antonio</t>
  </si>
  <si>
    <t>Antonio Caraves</t>
  </si>
  <si>
    <t>quadrados superficiales; está tasada en 35&gt;473 rs* Quien quisiere hacer postura, acuda alEscribano D. Antonio Caraves, que vive calle de Hortaleza , núm. r , esquina á la de S. Marcos. A voluntad de su dueño se vende una posesión cercada, inmediata á Canillas, con casa, lavadero, gf rs. de agua p</t>
  </si>
  <si>
    <t>Carballo, Joaquín</t>
  </si>
  <si>
    <t>Joaquín Carballo</t>
  </si>
  <si>
    <t>ola, D. Antonio Luna y D. Josef María Portocarrero: á Subtenientes de granaderos á los de fusileros D. Joaquín Carballo y D. Francisco Cabrera: á Subtenientes de compañía á los de bandera D. Fernando Otal, D. Pedro Quiros y D. Antonio María Bayot, y á los Sargentos primeros D. Mariano Ortiz y D. Josef</t>
  </si>
  <si>
    <t>Carbonell y Borja, Antonio</t>
  </si>
  <si>
    <t>Antonio Carbonell y Borja</t>
  </si>
  <si>
    <t>y de Quiroga, calle de las Carretas, á 15 rs. en pasta y 13 en rústica. Carta de Pantaleon Claros á D. Antonio Carbonell y Borja: este papel da una idea de lo que es la ciencia numismática, y qué utilidades pueden sacarse de su estudio; enseña á distinguir los charlatanes y corredores de monedas de los verd</t>
  </si>
  <si>
    <t>Carceller, Francisco</t>
  </si>
  <si>
    <t>Francisco Carceller</t>
  </si>
  <si>
    <t>; y Subtenencias de bandera en el propio Cuerpo y el de la Rey na al Sargento primero de granaderos D. Francisco Carceller y al Cadete D. Josef Amit. S. M. se ha servido nombrar para laVara de Alcalde mayor de la villa de Caravaca, territorio de la Orden de Santiago, de tercera clase, á D. Antonio Valer</t>
  </si>
  <si>
    <t>Cardenal de Lerma, Duque</t>
  </si>
  <si>
    <t>Duque Cardenal de Lerma</t>
  </si>
  <si>
    <t>fortuna, dividido en ó partes, tomado de„ diversos y graves autores en defensa de la retirada, del Duque Cardenal de Lerma, con muchos exemplos á propósito de la materia. 2 2.. Ultimamente, var-ios- discursos y tratados.morales sobre la fortuna y su influencia; sobre el modo fie adquirir la. virtud; s</t>
  </si>
  <si>
    <t>Cardón, Benito</t>
  </si>
  <si>
    <t>Benito Cardón</t>
  </si>
  <si>
    <t>Rey promover á Teniente ai Alférez D. Joaquin Foraster: en el de Borbon á Portaestandarte ai Cadete D. Benito Cardón: en el de Farnesio á Alféreces á los Portaestandartes D. Antonio María Manso y D. Joaquin Polo: en el de Santiago á Alférez al Portaestandarte D. Manuel de Castro; y en el de caza</t>
  </si>
  <si>
    <t>Cariisle, Lord</t>
  </si>
  <si>
    <t>Lord Cariisle</t>
  </si>
  <si>
    <t>ltimo dexado escapar á su enemigo. Después de hablar algunos vocales, se vota sobre la propuesta de Lord Cariisle; 31 votan enfavor, y 30 en contra de ella. •. 3 .</t>
  </si>
  <si>
    <t>CárJps</t>
  </si>
  <si>
    <t>ho de. ellos desde el tiempo de.los Apóstoles hasta .el presente ; escrita en, francés por el R. P- D. CárJps .Chardpn .jj/digÁosq benedictino, y traducida, .con, adiciones y notas: 8 tomos en 8.° prolongado. Véndese a 104 rs. en rústica y 144 én pasta en el despache? ás la imprenta Real.</t>
  </si>
  <si>
    <t>Carli, Conde</t>
  </si>
  <si>
    <t>Conde Carli</t>
  </si>
  <si>
    <t>l Consejo de S. M., y su Ministro de la Real Junta de Comercio y Moneda: un tomo en 4.°c=rCarta del Conde Carli al Marques Maffeí, sobre el empleo del dinero, y discurso del mismo sobre los balances económicos de las naciones &gt; al qual van añadidas las reflexiones del Marques Casaux sobre e</t>
  </si>
  <si>
    <t>Carlos Andrés</t>
  </si>
  <si>
    <t>la literatura. Obra escrita en italiano por el.Abate D. Juan Andrés, y traducida al castellano por D. Carlos Andrés: tomo 9.0 Se hallará, con los anteriores, en la libreiía de Sancha, calle del Lobo. Aventuras de Telémaco, hijo de Ulises, por el limo. Sr. Fenelon, Arzobispo de Cambray: traducci</t>
  </si>
  <si>
    <t>Carlos Luis</t>
  </si>
  <si>
    <t>e vistió la Corte de gala en el Real Sitio de S. Lorenzo, con motivo del cumpleaños del Sr. Infante D. Carlos Luis, Rey de Etruria. El Ruy se ha servido nombrar para la Canongía, que en la Iglesia de Ciudad- Rodrigo ha resultado vacante por muerte de D. Bernardo Ruibamba, á D. Juan Villar, Cap</t>
  </si>
  <si>
    <t>Carlos María</t>
  </si>
  <si>
    <t>s personas de distinción, que con tan plausible motivo, y el de ser igualmente dias del Sr. Infante D. Carlos María , de la Sra. Infanta Princesa del Brasil, del Sr; Infante Rey de Etruria, y de la Reyna de Ñapóles, concurriéron á cumplimentar á SS. MM. y AA. En la Compañía Española de Reales G</t>
  </si>
  <si>
    <t>Carlos, Archiduque</t>
  </si>
  <si>
    <t>Archiduque Carlos</t>
  </si>
  <si>
    <t>itió el discurso que tenia preparado. Genova 16 de Diciembre. Las cartas de Trieste anuncian que el Archiduque Carlos, para hacer</t>
  </si>
  <si>
    <t>estado , y particularmente sobre los arrestos que ha hecho hacer en territorio aieman. S. A.. R. el Archiduque Carlos, Ministro de. Guerra, lia tenido á bien guarnecer diversas plazas de Daimacia. situadas en las costas y y poner en ellas Comandantes particulares.. , El Elector de Wurtemberg ha h</t>
  </si>
  <si>
    <t>as de Po— dolia: también se notan grandes movimientos de tropas en la Polonia prusiana. S. A. R. el Archiduque Cárlos se halla quatro días hace con indisposición de bastante cuidado. Según resulta de las listas necrológicas del estado militar , han muerto en un año 39 Generales, y 900 oficiales.</t>
  </si>
  <si>
    <t>her (*).” J ^ Viena 28 de Mayo. Los rumores que se habían esparcido dias pasados de que S. A. R, el Archiduque Carlos renunciaría su ministerio, luego que convaleciese de su enfermedad, se han desvanecido enteramente,al ver que no se han realizado sus anuncios. Al contrario, S. M. I. continúa ten</t>
  </si>
  <si>
    <t>iciales del estado mayor, düe fueron en^ cargados por el Emperador, á representación de S. A. R. el Archiduque Carlos, de la inspección de las fronteras militares de toda la monarquía austríaca, han vuelto de su comisión. Se asegura que el informe que hari hecho al Archiduque Cárlos ofrece unos r</t>
  </si>
  <si>
    <t>s- que se esparcieron sobre las supuestas desavenencias en-' tre S...M. el Emperador y su hermano e Archiduque Carlos, y la pre-1 tendida dimisión de este Príncipe de todos sus empleos , así como de la; mudanza total de las nuevas instituciones militares, han excitado la aten</t>
  </si>
  <si>
    <t>ero de la orden Teutónica el Barón de Spiegel, Mayor General. Concluida esta ceremonia, S. A. R. el Archiduque Carlos hizo la dimisión formal de la dignidad de Gran Maestre en su hermano el Archiduque Antonio , que estaba presente. Estas ceremonias se hicieron en la capilla de la Orden , con asis</t>
  </si>
  <si>
    <t>an Maestre de 1a. orden Teutónica. El 29 del pasado fue quando designó formalmente esta dignidad el Archiduque Cárlos á presencia de todos los comendadores y caballeros, de ministros y de casi toda la nobleza, que se habla reunido en la habitación de S. A. R. . t . El Príncipe de Lobkowitz há dad</t>
  </si>
  <si>
    <t>nica, saldrá en breve para Mergenthein-; donde fixará su residencia. 'Dícese que irá acompañando al Archiduque Carlos, qüe va á visitar los diferentes campamentos de Hungría, Bohemia y Moravia. Todas las tropas destinadasá formar el campamento en las cercanías de Pest están ya en camino, y llegar</t>
  </si>
  <si>
    <t>illería de aquella plaza se ha volado con 42 personas. Se ignora aun la causa de este accidente. El Archiduque Carlos , en calidad de Gefe supremo del departamento de la guerra de la monarquía austríaca, ha señalado últimamente, con acuerdo de S. M. I. , las revistas generales de este año para la</t>
  </si>
  <si>
    <t>raga irá á Toeplitz;y después de algunos dias volverá á Praga, para verse con el Emperador y con él Archiduque Cárlos, en cuya compañía vendrá á Viena. Es público que Mr. PagetMinistro de Inglaterra en Viena, tenia licencia de su corte para volver á su patria, y que estaba haciendo sus preparativ</t>
  </si>
  <si>
    <t>los 3 colegios del Imperio una nota, convidando á sus co-estados á manifestar su reconocimiento al Archiduque Carlos, por haber salvado dos veces la Alemania meridional de la invasión del enemigo, erigiéndole en Ratisbona una estatua colosal, costeada por todos los estados del Imperio. En 26 de</t>
  </si>
  <si>
    <t>n calidad de Oficial subalterno. Este Comandante manifiesta un grande aprecio y veneración hácia el Archiduque Carlos, á quien ha escrito úl</t>
  </si>
  <si>
    <t>egos, que dicen ser de la mayor importancia, los quates deben entregar en manos del Emperador ó del Archiduque Carlos , á cuyo efecto ha tomado el camino de Praga. Contienen, según dicen, las nuevas ofertas de los gefes Servios , y también de los sublevados BosoUcos, de poner su pais baxo la prot</t>
  </si>
  <si>
    <t>irle hasta Plasencia , desde donde le acompañará hasta las fronteras .de Francia. . A propuesta del Archiduque Carlos ha nombrado S. M. Comandante general de Austria al Barón de Mack, endilgar del Conde de Baille, quien ha hecho su renuncia. Escriben de Trieste y de Venecia, que el Adriático está</t>
  </si>
  <si>
    <t>éndose á sus guarniciones respectivas. El Emperador se ha restituido al palacio de esta Corte, y el Archiduque Carlos se ha trasladado al suyo de Neustadt. Augsburgo jo de Octubre. Hemos sabido por las últimas cartas de Viena, que el Duque Alberto de Saxonia-Teschen no pudo quedarle en Praga á ca</t>
  </si>
  <si>
    <t>rcas fronterizas. Se asegura todavía que el Archiduque Juan , hermano del Emperador , y adjunto del Archiduque Carlos en el Ministerio de la Guerra, mandará estas tropas, y que sentará su quartel general en Buda. Se ha publicado una carta que escribe S. M. Prusiana con fecha de 24 del mes último á</t>
  </si>
  <si>
    <t>l General Jellachich, que manda el cordon de las tropas de las fronteras de Turquía, ha expuesto al Archiduque Carlos ser ya inútiles las disposiciones dadas hasta ahora, por quanto habiendo cesado la guerra civil en la Servia, no hay que temer se viole el territorio Austríaco. ■Augs burgo 11 de</t>
  </si>
  <si>
    <t>spués de haber tomado las aguas de Badén, y está su vida en gran peligro. Su sobrino mas querido el Archiduque Carlos no se quita de su lado ni un momento. Se asegura que las deliberaciones de la Dieta del círculo de Franconia, que después de una larga interrupción han comenzado á continuarse á p</t>
  </si>
  <si>
    <t>Carlos, Príncipe</t>
  </si>
  <si>
    <t>Príncipe Carlos</t>
  </si>
  <si>
    <t>Carin-tia, y el 4.0 en el gran ducado dé Venecia. Ei Teniente-Feld-Mariscal Duka, amigo Intimo del Príncipe Carlos, lia marchado á Italia á pasar févfstá' á las tropas qile hay en el país véneto./</t>
  </si>
  <si>
    <t>fort 4 de Junio. Las cartas de Viena de 31 de Mayo anuncian una noticia de bastante importancia. El Príncipe Carlos ha renunciado la dignidad de Gran Maestre de la orden Teutónica, y los derechos de soberanía que como á tal le competen sobre los estados teutónicos. Por esta renuncia, á la que l</t>
  </si>
  <si>
    <t>de vos; y apenas se concíny ,1a paz, disteis señales de vida, pidiendo que se levantase una estatua Príncipe Cárlos.__ Este Príncipe ha adquirido gloria , y la Francia es</t>
  </si>
  <si>
    <t>amente, suplicándole aceptase un hermoso caballo Arabe que le enviaba de regalo. ^ Ha presentado el Príncipe Carlos al Emperador un informe acerca de las resultas de la vacunación en las provincias conocidas con el nombre de fronteras militares. En el tiempo de dos años hup sido vacunadas 51® p</t>
  </si>
  <si>
    <t>Carlos-Vidal</t>
  </si>
  <si>
    <t>fantería de América -se ha servido S. Mi pror mover á: Subtenientes á los-Cadetes D. Josef Suarez , D. Carlos-Vidal y D. Pedro Regalado Loy? al*Soldado distinguido D. Liborio González , y al Sargento primero D. Antonio Martínez de León., También se ha servido S. M. nombrar .GapellaheS etí dos regim</t>
  </si>
  <si>
    <t>Carlota María Teresa de Saxonia, Princesa</t>
  </si>
  <si>
    <t>Princesa Carlota María Teresa de Saxonia</t>
  </si>
  <si>
    <t>miércoles 4 de este mes; y hallándose igualmente S. M. con la triste noticia de haber fallecido la Princesa Carlota María Teresa de Saxonia, su amada sobrina, se ha servido mandar se vista la corte de luto por 1 f dias en iguales términos, que principiarán á contarse desde el mismo dia 4 de este mes. S, M. se ha servi</t>
  </si>
  <si>
    <t>Carlota, Princesa</t>
  </si>
  <si>
    <t>Princesa Carlota</t>
  </si>
  <si>
    <t>de este mes S. A. R. el Príncipe Hcnrique de Prusia, hermano del Rey, se desposó en Firmont con la Princesa Carlota, hija menor del Príncipe hereditario de Dinamarca. RatMona 2$ de Agosto. Hoy, á las 11 de la mañana, hubo dictadura en la Dieta. Leyóse una nota entregada por dos Ministros de S.</t>
  </si>
  <si>
    <t>Henrique, hermano de nuestro Soberano, ha salido d© aquí para Ludwigsluist, donde se halla ahora la Princesa Carlota, hija del Príncipe heredero de Dinamarca, con quien debe casarse----- Se asegura que nuestra Corte ha convidado al Príncipe Federico de Dinamar-' ca, á sus dos hijos y á las dos P</t>
  </si>
  <si>
    <t>e Alemania; y ha recibido el 17 los parabienes de la Corte, con motivo del matrimonio de su hija la Princesa Carlota con el Príncipe Luis de Prusia. Carísruhe 24 de Octubre. Se han recibido en Stuttgard cartas de varias personas de la comitiva del Principe Electoral de Wurtemberg, que dicen que</t>
  </si>
  <si>
    <t>Carmona, Manuel Salvador</t>
  </si>
  <si>
    <t>Manuel Salvador Carmona</t>
  </si>
  <si>
    <t>D. Josef Camarón, Pintor de cámara de S. M., y grabado por D. Luis Fernandez Noseret, discípulo de D. Manuel Salvador Carmona. Se hallará en la calcografía establecida en la imprenta Real. Por auto de 18 del corriente, proveído por el limo. Sr. venerando Baylío Fr. D. Carlos López Altamirano, Caballero G</t>
  </si>
  <si>
    <t>Carnicero Pérez, Antonio</t>
  </si>
  <si>
    <t>Antonio Carnicero Pérez</t>
  </si>
  <si>
    <t>: para una Canongía de la catedral de Astorga , vacante por muerte de D. Miguel Franco Quintanó; á D. Antonio Carnicero Perez, Cura de la villa de Peque, en aquella diócesis: para una Ración de la de Sigüenza, vacante por fallecimiento de D. Nicolás Rezusa, á D. Gabriel Cayetano Gallego, Medio-Racionero</t>
  </si>
  <si>
    <t>Carnicero, Antonio</t>
  </si>
  <si>
    <t>Antonio Carnicero</t>
  </si>
  <si>
    <t>s: retrato del Sermo. Sr. Infante D. Francisco de Paula, grabado por D. Juan Brunetti, dibuxado por D. Antonio Carnicero, Pintor de Cámara de S. M. Se hallará en la librería de Escribano, calle de las Carretas, á 5 rs. En la librería de Arribas, calle de las Carretas, se hallan las obras nuevas de m</t>
  </si>
  <si>
    <t>Nuevo retrato del Excmó. Sr. Príncipe de la Paz, Generalísimo de mar y tierra, dibuxado de cara por D. Antonio Carnicero , Pintor de cámara de S. M., y grabado por D. Juan Brunettí al estilo ingles. Se hallará en la librería de Escribano, calle de las Carretas. En la librería de Campo, calle de Alca</t>
  </si>
  <si>
    <t>Carnot</t>
  </si>
  <si>
    <t>tas distinciones metifísicas de la facultad Real, y luego dice: ,,Parece que el ciud. Carnot cree que el resultado á que ya nos acercamos , estaba preparado muy de antemano por el primer Cóaisul , con tanta maña como constancia. Sin embargo,es cierto,</t>
  </si>
  <si>
    <t>Caro, Juan</t>
  </si>
  <si>
    <t>Juan Caro</t>
  </si>
  <si>
    <t>el Villaverde, Sar­ Juan Caro.............................. Dos barrios........................ 1^ gento segundo.................. Castromocho........ ........... 425.. 6 Gavino Aguilera................. Al</t>
  </si>
  <si>
    <t>Carrafa, Juan</t>
  </si>
  <si>
    <t>Juan Carrafa</t>
  </si>
  <si>
    <t>uti^á la humanidad y al estado; pues habiendo sabido qué el Capitán general de esta provicia el Sr. D. Juan Carrafa habia vacunado por su misma mano mas de 300 criaturas y otras -personas adultas de Badajoz, solicito se le enviase un .muchacho vacunado á ,esta villa, en la qual se ha hecho la o</t>
  </si>
  <si>
    <t>die 28 Martii anno 1720. . ’ ESPAÑA. . Badajoz 28 de Julio, En el invierno pasado se dedicó el Sr. D. Juan Carrafa, Capitán general de la provincia de Extremadura, á introducir la vacuna en esta ciudad de Badajoz, venciendo las dificultades, y quitando las preocupaciones á los padres y á la ge</t>
  </si>
  <si>
    <t>Carrasco y Robredo, Manuel</t>
  </si>
  <si>
    <t>Manuel Carrasco y Robredo</t>
  </si>
  <si>
    <t>an de la villa de Gibráléon, eñ el de Sevilla, vacante por fallecimiento de £&gt;. Basilio Zaragoza, á D. Manuel Carrasco y Robredo; y para la Capellanía Real de lá Catedral de Pamplona, vacante por muerte de Don Francisco Xavier dé Viüanueva á D. Luis Chavier. S. M. se ha servido nombrar para el Benefició de</t>
  </si>
  <si>
    <t>Carrasco, Antonio</t>
  </si>
  <si>
    <t>Antonio Carrasco</t>
  </si>
  <si>
    <t>141.25 Antonio Carrasco................ Orihuela.......................... 141-25 Ildefonso García—.............. Herencia.................... 141-25 Antonio Rodrigiiez............</t>
  </si>
  <si>
    <t>Carrasco, Fernando</t>
  </si>
  <si>
    <t>Fernando Carrasco</t>
  </si>
  <si>
    <t>na: y Subtenencias de bandera en los de España, Burgos, Uitonia y Borbon , á los Sargentos primeros D. Fernando Carrasco , D. Ignacio Bernardini y D. Eugenio Villásana; y_á los Cadetes D. Pablo de Traba , D. Josef Withe , D. Vicente Máríar Rosique , D. Guillermo Berard y D. Gabriel Jaume. En el Real</t>
  </si>
  <si>
    <t>Carrasco, Juan Vicente</t>
  </si>
  <si>
    <t>Juan Vicente Carrasco</t>
  </si>
  <si>
    <t>hombre vivo , por el ciud. Carlos Luis Dumas, del Instituto nacional de Francia Scc., traducida por D. Juan Vicente Carrasco: quaderno 3.0, que trata del hombre &gt; de su, formación, de su estructura y variedades, de :las modificaciones que la edad, sexos, hábitos y temperamentos producen en su naturaleza</t>
  </si>
  <si>
    <t>del hombre vivo: escrita en francés por el ciud. Dumas, del Instituto nacional &amp;c., y traducida por D. Juan Vicente Carrasco: quaderno 4.0, con el que se concluye el tomo i.°, terminando en él los preliminares de la fisiologia ,y dando principio al tratado de sensibilidad y sistema nervioso. Un incident</t>
  </si>
  <si>
    <t>Carrasco, Manuel</t>
  </si>
  <si>
    <t>Manuel Carrasco</t>
  </si>
  <si>
    <t>... 141-25 Manuel Carrasco................. Colmenar de Oreja........ 141-25 Cayetano Mendez............... Quirogancs............... 141-25 Francisco Hernández.....</t>
  </si>
  <si>
    <t>Carrasco, Pedro Antonio</t>
  </si>
  <si>
    <t>Pedro Antonio Carrasco</t>
  </si>
  <si>
    <t>lez. El Rey se ha servido nombrar para la plaza del Consejo Real, vacante por fallecimiento del Sr. D. Pedro Antonio Carrasco , al Sr. D. Josef Marquina Galindo,Ministro decano de la Sala de Alcaldes de su Real casa y corte..</t>
  </si>
  <si>
    <t>Carrascosa, Juan</t>
  </si>
  <si>
    <t>Juan Carrascosa</t>
  </si>
  <si>
    <t>á los Tenientes de granaderos D. Josef María de Ariza y D. Bartolomé de Moya, y al Capitán agregado D. Juan Carrascosa: á Teniente de "granaderos del de Pontevedra al de fusileros D. Antonio Pardo: á Tenientes de fusileros de los de Ecija y Cuenca á los Subtenientes de granaderos D. Manuel Vázquez</t>
  </si>
  <si>
    <t>Carrascosa, Manuel Claudio</t>
  </si>
  <si>
    <t>Manuel Claudio Carrascosa</t>
  </si>
  <si>
    <t>rcio Sineo; y para los de Sta. María de Bardóles y PradicMa de Allende, en el obispado de Oviedo, á D. Manuel Claudio Carrascosa. En el regimiento de caballería de Alcántara, séptimo de línea,, se ha servido el Rey conferir el empleo de Portaestandarte al Sargento primevo D. Lucas Bravo. En el Real cuerpo d</t>
  </si>
  <si>
    <t>Carrero, Francisco</t>
  </si>
  <si>
    <t>Francisco Carrero</t>
  </si>
  <si>
    <t>n la primera á Cadete de número al Supernumerario D. Bernardo Aliaga, y á Supernumerario al Guardia D. Francisco Carrero; y en la segunda á Cadete de número a! Supernumerario D. Josef de la Huerta, y á Supernumerario al Guardia D. Josef Olea. En la Compañía Flamenca del Real cuerpo de Guardias de Co</t>
  </si>
  <si>
    <t>rnumerario al Cadete Garzón D. Manuel Ruíz de Villa y Barreda: á Cadete de número al Supernumerario D. Francisco Carrero; y á Cadete Supernumerario al Guardia D. Felipe de Lorieri; y en la Compañía Italiana á Cadete Supernumerario al Guardia D. Fernando Butrón. S. M. se ha servido conferir la Tenenc</t>
  </si>
  <si>
    <t>Carric, Carlos</t>
  </si>
  <si>
    <t>Carlos Carric</t>
  </si>
  <si>
    <t>cio simple de Sra. Eugenia de la villa de Tiña de Campos, en el Obispado de Falencia, por muerte de D. Carlos Carric.n , á D. Francisco Romero, ex- Comendador del monasterio de Murcia de la extinguida orden de S. Antonio Abad; y para el Priorato rural de Torre de Garci Fernandez, en el de Jaén,</t>
  </si>
  <si>
    <t>Carrillo Mayoral, Joaquín</t>
  </si>
  <si>
    <t>Joaquín Carrillo Mayoral</t>
  </si>
  <si>
    <t>ervido nombrar para el Deanato y Canongía unida de la catedral de Lérida, vacantes por promoción de D. Joaquín Carrillo Mayoral al obispado de Zamora, á D. Eduardo Saenz de la Guardia. El Rey se ha servido promover á Mariscal de Campo de sus exérci</t>
  </si>
  <si>
    <t>aquín Montero y de Bigodet. En io de Junio último se consagró en la catedral de Lérida el limo. Sr. D. Joaquín Carrillo Mayoral, Obispo de Zamora, por el limo. Señor D. Gerónimo María de Torres, Obispo de la misma; siendo asistentes los limos. Sres. D. Francisco de la Dueña y Cisneros, Obispo de Urgel, y D</t>
  </si>
  <si>
    <t>Carrillo Pimentel, Agustín</t>
  </si>
  <si>
    <t>Agustín Carrillo Pimentel</t>
  </si>
  <si>
    <t>l Rey se ha servido nombrar para el Deanato de la catedral de Yucatán, vacante por fallecimiento de D. Agustín Carrillo Pimentel, al Arcediano de ella D. Pedro Faustino Brunet; para el Arcedianato al Chantre D. Josef Joaquín Chacón; esta Dignidad al Maestrescuela D. Manuel de Salazar; y esta resulta 2I Canó</t>
  </si>
  <si>
    <t>Carrillo, Tomás</t>
  </si>
  <si>
    <t>Tomás Carrillo</t>
  </si>
  <si>
    <t>ento de infantería de México se ha servid® el Rey promover á Teniente de granaderos al de fusileros D. Tomas Carrillo; á Teniente de fusileros al Subteniente D. Juan del Rivero, y á Subteniente de bandera al Cadete D. Juan Padrón. En el Real establecimiento formado en esta corte,calle de las tres</t>
  </si>
  <si>
    <t>Carro</t>
  </si>
  <si>
    <t>ow y Bleckbede, han salido estos dias para el campamento cerca de Lunebourg. Viena 28 de Agosto. El Doctor Carro, Médico de esta capital, ha recibido noticias de varios Médicos y del Gobernador de Bombay, que anuncian haberse adop&gt; tado generalmente la vacuna en las posesiones Británicas de</t>
  </si>
  <si>
    <t>Carvajal, Felipe</t>
  </si>
  <si>
    <t>Felipe Carvajal</t>
  </si>
  <si>
    <t>raá los agregados D. Nicolás Sabifion, graduado de Teniente, D. Josef López, D* Silvestre Ramírez y D. Felipe Carvajal, al Sargento primero de granaderos D. Antonio Hernández, y al Cadete £L Tomas Feroz GuerraPor el Excnio- Sr. £). Josef Antonio Caballero se ha comunicado á la Cámara de Castilla l</t>
  </si>
  <si>
    <t>Carvajal, Luis</t>
  </si>
  <si>
    <t>Luis Carvajal</t>
  </si>
  <si>
    <t>tes D. Félix Arcos, Don Josef Perez, D. Juan Arguelles, D. Miguel de Sierra, D. Joaquín dé Sierra , D. Luis Carvajal, D. Josef Montero, D. Joaquín Rafael Inza y Don Josef Quiros: en el de Valencia la Comandancia del tercer batallón al Sargento mayor del de América, graduado de Teniente Coronel,</t>
  </si>
  <si>
    <t>Casa, Rafael</t>
  </si>
  <si>
    <t>Rafael Casa</t>
  </si>
  <si>
    <t>cio Reguera, D. Josef Zorrilla y Ortiz, Don Ignacio Olaeta y Calafát, D. Antonio Martínez y Tacón , D. Rafael Casa so la y ViUa.iba. En 3.a fecha. D; Luis de Córdoba y Postigo, D. Juan de Azas, D. Josef Olózága y Travieso, D. Francisco Gazcon y Molina, D. Fernando Bilbao' y Xiinenez \ D. Pedro</t>
  </si>
  <si>
    <t>Casábete y Zamora, Pedro</t>
  </si>
  <si>
    <t>Pedro Casábete y Zamora</t>
  </si>
  <si>
    <t>Subtenientes de bandera de los de Segóvia, Cuenca y Plasencia á D. Matías de Soldevielia y Yanguas, D. Pedro Casábete y Zamora y D. Francisco Breña Mateos. ■ En América. ■ Para la Canongía magistral déla iglesia catedral de la: Concepción de Chile, vacante por ascenso de D. Andrés Qúintian Ponce á la dignidad</t>
  </si>
  <si>
    <t>Casademont, Buenaventura</t>
  </si>
  <si>
    <t>Buenaventura Casademont</t>
  </si>
  <si>
    <t>o Rodrigálvarez: para otro^ de la catedral de Gerona , llamado Epistolero, vacante por promoción de Don Buenaventura Casademont á otro de la propia iglesia, á D. Josef Forniob para otro de la parroquial de Tordera, diócesi de Gerona, vacante por muerte de D. Juan Bautista Comas, á D. Hilario Muntalt; y par</t>
  </si>
  <si>
    <t>Casado, Matías</t>
  </si>
  <si>
    <t>Matías Casado</t>
  </si>
  <si>
    <t>una Ración de la propia colegial, por ascenso de D. Domingo Hor.tigilela á Canongía de la misma, á D. Matías Casado,</t>
  </si>
  <si>
    <t>Casas, Nicolás</t>
  </si>
  <si>
    <t>Nicolás Casas</t>
  </si>
  <si>
    <t>: á Subteniente de granaderos al de fusileros D. Miguel Ortiz; y á Subteniente de bandera al Cadete D. Nicolás Casas. Como en las ciencias físicas, con especialidad en la Medicina, no son los raciocinios, por exactos que parezcan, sino solas las observaciones las que tienen absolutamente la auto</t>
  </si>
  <si>
    <t>Casaus, Francisco</t>
  </si>
  <si>
    <t>Francisco Casaus</t>
  </si>
  <si>
    <t>blo Tarrago; y el empleo de Capitán segundo en el batallón de Voluntarios de Campomayor ai Teniente D. Francisco Casaus. Ei Rey se ha servido conferir en los Regimientos de infantería Suiza los empleos siguientes: el ¿e Capitán primero en el de Traxler al de granaderos D. Gaspar !Caslin;el de Subte</t>
  </si>
  <si>
    <t>Casia</t>
  </si>
  <si>
    <t>algunos célebres comediantes y comediantas , así antiguos como modernos , con algunos retratos: por D. Casia.110 Pellicer, Oficial de la Real Biblioteca de S. M. Sin embargo de la obra que se publicó el ano pasado de 1803 sobre teatros, parece que se echaba ménos la presente , no solo pa</t>
  </si>
  <si>
    <t>Casiano Caballero</t>
  </si>
  <si>
    <t>a Sta. Iglesia de esta ciudad de Badajoz D. Juan Manuel Alvarez de Faria, por el médico de la misma D. Casiano Caballero, y por el cirujano del regimiento de infantería de Aragón Don Juan de Cardemon mas de 300 criaturas._En este grande número de vacunados no se ha experimentado la menor desgracia;</t>
  </si>
  <si>
    <t>Casiano de Moya</t>
  </si>
  <si>
    <t>al Subteniente de granaderos 13* Tose!" Antonio Suarezi a Subteniente de granaderos al de fusileros D. Casiano de Moya; y á Subteniente de bandera al Cadete D. Rafael Mariano .Ferrer. _ i1 , ’ En cumplimiento de las Reales cédulas de S. M.. de i i de Julio y 2q de Noviembre de 1797 &gt; se recibirán</t>
  </si>
  <si>
    <t>Casimiro</t>
  </si>
  <si>
    <t>a, encargo que he desempeñado.luego que.llegué a este pais. Soy de V. &amp;c.” De. otra carta escrita á D. Casimiro. Gómez Ortega por.D, Mariano Espinosa , cirujano empleado por S. M. en la Havana, consta „ que el Baron-y Mr. Bompland han visitado su jardín; que les-ha regalado una;, caxa de mu</t>
  </si>
  <si>
    <t>Casimiro Antonio Gómez</t>
  </si>
  <si>
    <t>, acudirá ante dicho Señor; y en esta Corte ante el Sr. D. Manuel de Torres Cónsul, y escribanía de D Casimiro Antonio Gómez, Se vende á voluntad de su dueño una casa sita en la calle de S. Bernardino, barrios de las Capuchinas, núms. 5 y 6, manz. 536, tasada en el año de 1788 en 603,538 rs. 16 mrs. , y</t>
  </si>
  <si>
    <t>te el Sr. D. Manuel de Torres Cónsul, Teniente Corregidor de esta villa, y escribanía del número de D. Casimiro Antonio Gómez. Quien quisiere hacer postura á una casa sita en la cuesta de la Vega, núm, 4, matiz. 192, que compre'hende su sitio 15,905 pies superficiales, valuado, con su fábrica, en 921,640</t>
  </si>
  <si>
    <t>Casimiro Bastarrachea</t>
  </si>
  <si>
    <t>Compañía al Ayudante, graduado de Capitán, D. Angel Bayon, y Tenencia al Subteniente de granaderos D. Casimiro Bastarrachea. El Rey se ha servido conferir la Sargentía mayor del Regimiento de infantería de León al Capitán de granaderos del mismo Cuerpo, graduado de Teniente Coronel, D. Agustín de Lara:</t>
  </si>
  <si>
    <t>Casimiro Sánchez Hortln</t>
  </si>
  <si>
    <t>qasola, en el arzobispado de Sevilla ,, yacante por. fallecimiento:de ,D. Eüfrasio Díaz de Perea, á D. Casimiro Sánchez Hortln: para un Beneficio de la parroquial de Sta. María de Carmona, en el mismo arzobispado, por piuerte de Don Ventura Andueza, á D. Frañcisco de Reyna, Teniente deí tercer regi^ mient</t>
  </si>
  <si>
    <t>Casimiro Vigodet y Garnica</t>
  </si>
  <si>
    <t>n Güimil, y Camaño, D. Francisco Juistiniani y Ca&amp;rera¿. Ena* fyc/ia.J). Joaquinas la Llave y Coca, D. Casimiro Vigodet y Garnica, I). Pedro del Villar,</t>
  </si>
  <si>
    <t>Casly, Luis</t>
  </si>
  <si>
    <t>Luis Casly</t>
  </si>
  <si>
    <t>. Josef Chichery, Subteniente de granaderos: en el de Traxler Tenencia al Subteniente de granaderos D. Luis Casly; y Subtenencia al Cadete D. Basilio Chicherio: en el de Ruttiman Subtenencia al Cadete D. Josef Antonio Gramaren: en el de Redirig el empleo de Ayudante al Teniente D. Antonio Sté</t>
  </si>
  <si>
    <t>Casou, Juan</t>
  </si>
  <si>
    <t>Juan Casou</t>
  </si>
  <si>
    <t>uada en la Real Aduana, y en las provincias á los contfcf sionados siguientes: En Alicante..........D. Juan Casou y compañía. E?t Avila.............. D. Fernando Echepare y sobrinos* En Badajoz.^.'......D. Tomas Merino Ortiz. En Barcelona.......D. Ramón de Llofdella ¿ hijo. En Burgos........i..</t>
  </si>
  <si>
    <t>Caspe y Rodríguez, Antonio</t>
  </si>
  <si>
    <t>Antonio Caspe y Rodríguez</t>
  </si>
  <si>
    <t>io López Quintana, que lo era de la de Carácas: para la Fiscalía del crimen de la de Buenos-Ayres á D. Antonio Caspe y Rodríguez, Abogado de los Reales Consejos; y para la de Oidor de la misma Audiencia, vacante por jubilación de D. Sebastian de Velasco, á D. Manuel de Velasco, electo para la de Filipinas:</t>
  </si>
  <si>
    <t>Casquero, Juan</t>
  </si>
  <si>
    <t>Juan Casquero</t>
  </si>
  <si>
    <t>los regimientos de caballería de línea se ha dignado S. M. promover á Capitán en el de Alcántara á D. Juan Casquero, Ayudante del de Borbon , graduado de Teniente Coronel: á Alférez en el de la Reyna á D. Ramón Collantes;á Portaestandartes en ei mismo Cuerpo al Cadete D. Fernando Suarez, y al S</t>
  </si>
  <si>
    <t>Castelereagh, Lord</t>
  </si>
  <si>
    <t>Lord Castelereagh</t>
  </si>
  <si>
    <t>á la Cámara todos los papeles relativos á la guérra contra los máratas que se hubiesen recibido. El Lord Castelereagh dixo que dará á la Cámara todos los informes que desea , luego que el gobierno reciba los documentos necesarios. Los últimos avisos de Bengala son de 26 de Junio.__Mr. Johnstone s</t>
  </si>
  <si>
    <t>Castellano, Tomás</t>
  </si>
  <si>
    <t>Tomás Castellano</t>
  </si>
  <si>
    <t>e la parroquia dé Santiago dé la.villa de Béjar , en la mbma diócesis, vacante por fallecimiento de D. Tomas Castellano, á D. Gervasio Tomas -Bonilla ; y para el Medio-Préstamo de S.tq. jpomjhgo de la villa de Milla, en el obispado de.Gattagerjaylvaéinte</t>
  </si>
  <si>
    <t>Castellanos, Manuel</t>
  </si>
  <si>
    <t>Manuel Castellanos</t>
  </si>
  <si>
    <t>o de Teniente Coronel, D. Josef María de la Torre; habiendo también promovido á Capitán al Ayudante D. Manuel Castellanos: á Ayudantes á los Tenientes D. Joaquin Horruitiner, de granaderos, y D. Esteban Menocal: á Teniente de granaderos ai de fusileros D. Gil Josef Pacot: á Tenientes ¿ los Subtenient</t>
  </si>
  <si>
    <t>Castíereagb, Lord</t>
  </si>
  <si>
    <t>Lord Castíereagb</t>
  </si>
  <si>
    <t>navio* de 80,dos de 74, y de dos de 44, holandeses, con algunas fragatas y corbetas. El 10 de Julio Lord Castíereagb presento á la Cámara de los Comunes el estado de la compañía de la India. Resulta de el, que las rentas de Bengala ascienden á 8.380,087 libras esterlinas t la de Madras á.</t>
  </si>
  <si>
    <t>Castillo y de Montanar, Joaquín</t>
  </si>
  <si>
    <t>Joaquín Castillo y de Montanar</t>
  </si>
  <si>
    <t>de la ciudad de Almuñecar y villa de Salobreña á D. Vicente Girón: para la de la villa de Fiñana á D. Joaquin Castillo y de Montanar: para la de Alcalde mayor Teniente general del Señorío de Vizcaya, con residencia en la villa de Guernica, á D. Matías Herrera Prieto: para la de la villa de Mazarron á D. Tadeo R</t>
  </si>
  <si>
    <t>Castlereagh, Lord</t>
  </si>
  <si>
    <t>Lord Castlereagh</t>
  </si>
  <si>
    <t>y al mundo de hallarse aquel país pronto á aliarse con el enemigo que se le presentare delante.” El Lord Castlereagh responde á estos dos oradores justificando la conducta de los Ministros, á quienes cree no se puede tachar de negligentes por no haber dado parte al Parlamento de las tristes circ</t>
  </si>
  <si>
    <t>i iS por el Lord Castlereagh á la Cámara, há demostrado que nuestros recursos son superiores á nuestros peligros. — El honorable miembro piensa que valdria mas aumentar el exército de línea. Si hubiese atendi</t>
  </si>
  <si>
    <t>r pidiendo se presentasen á la Cámara copias de todos los papeles de oficio relativos al asunto. El Lord Castlereagh propone que la primera propuesta se convierta en un mensage al trono, pidiendo se presenten dichos papeles, fundándose en que estando Ceylan sujeta á la corona, solo pueden presen</t>
  </si>
  <si>
    <t>Imperio. En quanto á los papeles , que se nos promete, es muy probable que\ no contengan pada.. El Lord Castlereagh está pronto á convenir en que sean importantes los papeles acerca de los motivpSjde Ja», guerra; pero0que también lo es el fin de la corresponcfencia,- y ; ab$o iut^mente necesario</t>
  </si>
  <si>
    <t>ida del ministerio. Saben que esta, se verificará; pero quanto mas tarde, tanto mejor para ellos..” Lord Castlereagh dice que el deseo que manifiesta Mr.Fox de que se aumente el exército de línea , no es muy conforme á los principios que siempre ha protesado hasta ahora. Apoya parte del plan pro</t>
  </si>
  <si>
    <t>bramiento de los Comisarios, para dirigir la administración de los negocios de la India. Estos son’ Lord Castlereagh, el Duque deTortland, los Lores Hawkesbury, Cainb-, den., Harrowby, Mr.Pitt, Lord Glenbervié, Mr. Wallace, y Lord Dunlo. — También ha nombrado S. M. caballero de la orden del Baño</t>
  </si>
  <si>
    <t>,016 tienen, ínteres: la deuda de la compañía en Europa es de 4.780,000 libras Esterlinas. Concluyo Lord Castlereagh este estado de las rentas de la India, asegurando que esperaba que dentro de poco la compañía se hallaría., :io solo en términos de dar al estado 500'® libras esterlinas , sino tamb</t>
  </si>
  <si>
    <t>Castrillón, Félix</t>
  </si>
  <si>
    <t>Félix Castrillón</t>
  </si>
  <si>
    <t>n en la librería de Gómez Fuentenebro, calle de las Carretas. Ei Distraído: comedía nueva: su autor D. Félix Castrillón. Se* hallará, con la', del Reconciliador, también nueva, y ambas representadas en el teatro de los Caños: del Peral en este presente año, eri las librerías de'Castiilo, frente á l</t>
  </si>
  <si>
    <t>Castro, Gabriel</t>
  </si>
  <si>
    <t>Gabriel Castro</t>
  </si>
  <si>
    <t>............ 14I-2C Gabriel Castro.............. Villatobas.......................... 14 Julián Navarro...................... Vallecinos........................ 141-25 Benito Madrid......</t>
  </si>
  <si>
    <t>Catalina Antonia de Navarro</t>
  </si>
  <si>
    <t>Reynos, que por línea paterna ó materna puedan tener derecho-exclusivo ó concursivo á los bienes de Doña Catalina Antonia de Navarro, que falleció en dicha ciudad el o de Marzo-de .dicho, año, hija de D. Pedro- Jóséf de Navarro, y nieta"de D. Francisco Antonio Navarro, Mayor General que fué al servicio de la ca</t>
  </si>
  <si>
    <t>Catalina Antonia Navarro</t>
  </si>
  <si>
    <t>reynos, que por linca paterna ó materna pueda tener derecho exclusivo ó concursivo á íos bienes de Doña Catalina Antonia Navarro, que falleció en dicha ciudad el 6 de Marzo de dicho año , hija de D. Pedro josef Navarro, y nieta de D. Francisco Antonio Navarro, Mayor General'que fué de la referida ciudad , v</t>
  </si>
  <si>
    <t>Catalina Germán y Fugalde</t>
  </si>
  <si>
    <t>eón.............. D. Pedro Gil de Tejada. En Málaga......... D. Juan Ximeno. : En Maltón......... . Doña Catalina Germán y Fugalde. ; En Murcia............ Sres. Moreda y Ladalid. En Oviedo..............D. Manuel Rubiano. En Palenda........ D. Nicolás Calonge é hijo. En Palma........... D. Martin Mayol. En Pa</t>
  </si>
  <si>
    <t>Catalina Germán y Hugalde</t>
  </si>
  <si>
    <t>a. En León........... D. Pedro Gil de Tejada. En Malaga."".... D. Juan Ximeno. En Mahon.............Doña Catalina Germán y Hugalde* En Murcia...........Sres. Moreda y Ladalíd. En Oviedo............ D. Manuel Rubiano. En Palenda.........D. Nicolás Calonge é hijo. En Palma............ D. Martin Mayol. En Pamplo</t>
  </si>
  <si>
    <t>ón............... í). Pedro Gil de Tejada. En Malaga.......... D. Juan Ximeno. En Mahon............ Doña Catalina Germán y Hugalde. En Murcia........... Sres. Moreda y Ladalid. En Oviedo.......... .. D. Manuel Ru,biano. _ En Patencia........ í&gt;. Nicqlas Calonge. En Palma.............D. Martin Mayol. En Pamplo</t>
  </si>
  <si>
    <t>Catalina, Duquesa</t>
  </si>
  <si>
    <t>Duquesa Catalina</t>
  </si>
  <si>
    <t>M. I. se halla constipado y con calentura; esto ha impedido que hubiese besamanos el dia de la Gran Duquesa Catalina. S. M. debía igualmente ir en persona á.una junta , y no pu di endo realizarlo á causa de su indisposición, ha escrito á uño de los .mieinbros de ella la esquela sir guísate,,Esto</t>
  </si>
  <si>
    <t>Cathrall</t>
  </si>
  <si>
    <t>io que se hizo de la traducción del Bosquejo médico -de la Synochus maligna, ó fiebre amarilla, del Dr. Cathrall, en la Gazeta de ag de Enero de este año, se dixo que se estaba disponiendo otra obra mas extensa, que es la presente. Se ha tomado por texto la del Dr. Rush, por ser quien ha esc</t>
  </si>
  <si>
    <t>Cauchois</t>
  </si>
  <si>
    <t>licor de este modo; pero el que ha formado tiene las mismas propiedades, y no dexa paso al agua-----Mr. Cauchois,,c5ptico, está trabajando actualmente un anteojo, el qual, ademas de acortar las distancias , como todos los de larga vista, servirá para medir con exactitud el gradó de alejamien</t>
  </si>
  <si>
    <t>Caudevíla, María</t>
  </si>
  <si>
    <t>María Caudevíla</t>
  </si>
  <si>
    <t>ra. de la Misericordia, y fundaciones de D. Juan Bautista Mas, y de Don Francisco Xavier Navarro, y Doña María Caudevíla , baxo las mismas condiciones y examen.__ Para estimular á la buena educación en otras poblaciones de este Rcyno, se darán 6 premios de jo rs., 4 para niños y 2 para niñas de las</t>
  </si>
  <si>
    <t>caudillo Rokachigli</t>
  </si>
  <si>
    <t>rrotar casi del todo á los bandidos que desolaban la provincia. No obstante, su caudillo Rokachigli ha conseguido escaparse, y se ha retirado con las reliquias de su exército, que componen cerca de 1® hombres, al territorio de Baswan-Oglow. En el arrabal de P</t>
  </si>
  <si>
    <t>Caulai-ncour, General</t>
  </si>
  <si>
    <t>General Caulai-ncour</t>
  </si>
  <si>
    <t>uedan proscriptos del derecho de gentes todos los que estan■•otamnvuncidos de tener parte en él. El General Caulai-ncour va encargado dk: executar estas órdenes dél primer Cónsul, y no dude V. E. de que Ib hará con todo el miramiento que puede desear S. A. E. El mismo Gen ífraal .remitirá á V. E. ll</t>
  </si>
  <si>
    <t>Caulincourt, General</t>
  </si>
  <si>
    <t>General Caulincourt</t>
  </si>
  <si>
    <t>l del Imperio, Berthier, será Montero mayor; el General Duroc , Mayordomo mayor del Emperador, y el General Caulincourt, Caballerizo mayor. ESPAÑA. Madrid 13 de Julio. En las Compañías Española y Americana del Real cuerpo de Guardias de Corps se ha servido el Rey promover en la primera á Cadete de</t>
  </si>
  <si>
    <t>carroza son de Mr. Percier , arquitecto del Emperador,y toda la obra se hace baxo la dirección del General Caulincourt, Caballerizo mayor. El cuerpo de la caxa está adornado de frisos llenos de medallones, que representan diversos departamentos del Imperio enlazados por una cadena de palmas, de un</t>
  </si>
  <si>
    <t>Cavanellas, Miguel</t>
  </si>
  <si>
    <t>Miguel Cavanellas</t>
  </si>
  <si>
    <t>obre los gases ácido-minerales, que por órden de P. Josef Queraltó, Físico de Cámara de S. M., hizo D. Miguel Cavanellas &amp;c. Se hallará en la librería de Castillo ; en Valencia en casa de Fuster, en Barcelona en la de Esterling, en Murcia en la de Benedito y en Cartagena en la,de Gallardo. El año ma</t>
  </si>
  <si>
    <t>cada edad, con otros fenómenos que constan en la explicación y notas que incluye dicha lámina: por D. Miguel Cavanellas. Se hallará en la librería de Castillo: su precio 12 rs. Carta del V. D. Juan de Palafox y Mendoza al Sumo Pontífice Inocencio x, traducida del latín por D. Salvador González : te</t>
  </si>
  <si>
    <t>Cavero, Ignacio Joaquín</t>
  </si>
  <si>
    <t>Ignacio Joaquín Cavero</t>
  </si>
  <si>
    <t>ría de Córdoba, Zaragoza y Jaén á los Subtenientes D. Matías Carlos de Montes, D. Domingo Navarro , D. Ignacio Joaquín Cavero y D. Manuel Ayenza, ios tres últimos de granaderos; y Subtenencias de bandera en el de Córdoba al Cadete D. Francisco Melgarejo, y en el de Zaragoza al Sargento primero D. Ignacio Mor</t>
  </si>
  <si>
    <t>Cayre, Antonio</t>
  </si>
  <si>
    <t>Antonio Cayre</t>
  </si>
  <si>
    <t>Teniente ai Subteniente de granaderos D. Juan Urquidi,; á Subteniente de granaderos al de fusileros D. Antonio Cayre, y á Subteniente de bandera al Sargento primero distinguido D. Mariano Romero. Por el Ministerio de Guerra se ha comunica Jo el siguiente reglamento en que S. M. se digna señalar</t>
  </si>
  <si>
    <t>Cazorla, Francisco</t>
  </si>
  <si>
    <t>Francisco Cazorla</t>
  </si>
  <si>
    <t>euiente.de granaderos al de fusileros D- Josef Lobera j á Tenientes de fusileros á los Subtenientes D. Francisco Cazorla, de granaderos, D.; Martin Urloa y D. Miguel López; á Subteniente de granaderos.al de fusileros D.;FranciscoXralin¿ez , y á Subtenientes de bandera á los Cadetes £L Jdsef Antonio</t>
  </si>
  <si>
    <t>Ca’ffarelli, General</t>
  </si>
  <si>
    <t>General Ca’ffarelli</t>
  </si>
  <si>
    <t>tro se distribuirán de orden‘de-la dorte; ‘ - * Strasburgo tj de Setiembre, - . 7 Se asegura que el General Ca’ffarelli, que pasó poraquí,notenianim gana comisión relativa á la venida del Emperador, quien , parece, le-ha mandado pasar desde Aquisgran á Roma, para disponer de acuerdo con S. S. su vi</t>
  </si>
  <si>
    <t>Cbampagny</t>
  </si>
  <si>
    <t>dió S. M. I. audiencia pública en presencia de la Nobleza, del Clero y de los Oficiales generales á Mr. Cbampagny, Embaxador de Francia, quien presentó sus credenciales, en que el Emperador de los Franceses reconoce en S. M. el título y dignidad de Emperador heredi-, tario de Austria-----Hoy</t>
  </si>
  <si>
    <t>Cebollino, Juan</t>
  </si>
  <si>
    <t>Juan Cebollino</t>
  </si>
  <si>
    <t>vido conferir Compañía en el Regimiento de infantería de Zaragoza al Teniente, graduado de Capitán, D. Juan Cebollino; y Subtenencia de bandera en el de :Soria al Cadete D. Honorato Lance. ' . Habiendo determinado el Rey separar el Corregimiento de Madrid de la Intendencia de la provincia, se ha</t>
  </si>
  <si>
    <t>Cecilio Melcon de Cienfuegos</t>
  </si>
  <si>
    <t>raduado de Capitán, D. Filomeno de la Torre: Tenencia en el de Irlanda al Subteniente de granaderos D. Cecilio Melcon de Cienfuegos; y Subtenencias en los de Asturias, Navarra y Voluntarios de ia Corona á los Sargentos primeros D. Manuel Rome</t>
  </si>
  <si>
    <t>Ceeberg, Francisco</t>
  </si>
  <si>
    <t>Francisco Ceeberg</t>
  </si>
  <si>
    <t>rlos Sinner,y á ios Cadetes D. Pedro Jayme Rey y D. Josef Hetfleisch: en el de Bettschart al Cadete D. Francisco Ceeberg: en el de Traxler al Sargento primero de granaderos D. Federico Behr y al Cadete D. Carlos Muller; y en el de Courten al Cadete D. Luis Robatel. En atención ai mérito y distinguid</t>
  </si>
  <si>
    <t>Ceferino Juan Ordoñez</t>
  </si>
  <si>
    <t>a, y cobrados mensualmente. Los pretendientes dirigirán los memoriales al Secretario de dicha villa D. Ceferino Juan Ordoñez, y se admitirán hasta i.° de Octubre inmediato. Se halla vacante la plaza de Médico de Villaluenga, en el partido de Toledo, distante de este 4 leguas, y 8 de la corte, en su cami</t>
  </si>
  <si>
    <t>Ceferino Laborda</t>
  </si>
  <si>
    <t>concedido Subtenencia de bandera en el primer batallón de Voluntarios de Aragón al Sargento primero D. Ceferino Laborda; debiendo ser el de igual clase D. Isidro Cardona. En América. En el batallón veterano de infantería de Carácas se ha</t>
  </si>
  <si>
    <t>Ceferrao Juan Ordoñez</t>
  </si>
  <si>
    <t>la Vega, 4 leguas de Madrid , está vacante*, los que quieran pretender acudirán á Ja escribanía de D. Ceferrao Juan Ordoñez, Secretario del número de dicha villa; hasta el 15 de Marzo se admiten memoriales, advirtiendo que el sueldo ó partido se compone de 6Q rs. de propios , y pagados mensualmente. En</t>
  </si>
  <si>
    <t>Celedonio García Gutiérrez</t>
  </si>
  <si>
    <t>placeres del amor maternal, escritos en francés por L. J. Jauffret, y traducidos al castellano por D. Celedonio García Gutiérrez. La rapidez con que han arrebatado en Paris cinco ediciones copiosas de esta preciosa obrita, es un testimonio del mérito, que la hace apreciable entre Jas de^su clase. Su autor s</t>
  </si>
  <si>
    <t>Celedonio Prieto, Ángel</t>
  </si>
  <si>
    <t>Ángel Celedonio Prieto</t>
  </si>
  <si>
    <t>grados libros, en que se .yerra por no tener presente lo que se ensena en este tratado.” Traducíale D. Angel Celedonio Prieto”de la Rosa /Caballero'de'lá Real'distinguida órden española de Carlos irr¿ del Consejo de Sí M., Inquisidor apostólico déi tribunal dé Cartagena de Indias. Se hallará éñ la librer</t>
  </si>
  <si>
    <t>Celestino Gregorio Saíazar y Peñacarrillo</t>
  </si>
  <si>
    <t>gua de la población. Se dirigirán los memoriales, por el-término de veinte dias desde este aviso, á Don Celestino Gregorio Saíazar y Peñacarrillo, Alférez mayor y Regidor decano , con relación de méritos y señalamiento de pueblo donde hayan practicado,para que tomados los informes correspondientes , el Ayuntamiento elija al</t>
  </si>
  <si>
    <t>Ceraini, Juan Bautista</t>
  </si>
  <si>
    <t>Juan Bautista Ceraini</t>
  </si>
  <si>
    <t>a vez , sea por lo que fuere), y dignos de publicarse, que fuéron los académicos D. Rodrigo Tavira, D. Juan Bautista Ceraini, D. Ignacio Empacan, D.. Juan de Cevallos, D. Antonio Gilman,, Cadete de Reales Guardias Walonas, y D. Fernando Adaiúde Yárza-; al seminarista mayor Don Iñigo Ortes de Veíasco , s</t>
  </si>
  <si>
    <t>Cerat, Bernardo</t>
  </si>
  <si>
    <t>Bernardo Cerat</t>
  </si>
  <si>
    <t>. = Vida privada de los romanos, escrita en francés por Mr. de Arnay, y traducida al castellano por D. Bernardo Cerat: obra curiosa, instructiva y divertida para toda clase de personas, especialmente para los amantes de la historia, quienes encontrarán reducido en un breve compendio todo lo relat</t>
  </si>
  <si>
    <t>Cereríno Laborda</t>
  </si>
  <si>
    <t>tares D. Antonio María Secane; y en el primer batallón de Voluntarios de Aragón al Sargento primero D. Cereríno Laborda. El Rey se ha servido nombrar ^Subteniente de caballería del quinto regimiento del Real Cuerpo de Artillería al Subteniente de infantería deí propio regimiento D. Vicente Cabeza d</t>
  </si>
  <si>
    <t>Cerio, Felipe</t>
  </si>
  <si>
    <t>Felipe Cerio</t>
  </si>
  <si>
    <t>a ^ en el regimiento _ de infante_ ría del Príncipe al Teniente de granaderos, graduado de Capitán, D. Felipe Cerio: Tenencia en el de Suizos de Reding al Subteniente de granaderos D. Josef Pvevanger; y el empleo de Capellán, en el ambulante de Ruttman, á Fr. Tomas Boyer. También ha concedido S</t>
  </si>
  <si>
    <t>Cerpa Manrique, Luis</t>
  </si>
  <si>
    <t>Luis Cerpa Manrique</t>
  </si>
  <si>
    <t>: para otra Canongía de gracia de la catedral de Valladóiid de Mechoacan, vacante por traslación de D. Luis Cerpa Manrique á igual Prebenda de la de Antequera de Oaxaca, á Don Manuel García Cubilano: para la Ración que obtenía al Medio-Racionero D. Miguel Diaz Rábago; y para esta resulta á D. Francisc</t>
  </si>
  <si>
    <t>Cervino, Tomás</t>
  </si>
  <si>
    <t>Tomás Cervino</t>
  </si>
  <si>
    <t>der , D. Antonio de Mella, D. Juan Novoa y Gayoso , D. Toribio Salcedo, D Francisco García Fiorez , D. Tomas Cervino, D, Josef Muller, D. Francisco Viana y Achucarro, D. Antonio Doral y Anuncibay. El Rey se ha servido nombrar Auditor de Guerra del exército y Capitanía general de la costa de Gran</t>
  </si>
  <si>
    <t>César Castilla</t>
  </si>
  <si>
    <t>do. En el regimiento de infantería de México se ha servido S. M. promover á Teniente al Subteniente D. César Castilla; y á Subteniente ai Sarp gento primero D,. Jósef Norzagaray... Ha salido falsa: ía.rvcticia ¡del fallecimiento-del Barón de Humbroldi*, de que hicimos mención, en.la.gazeta deLvié</t>
  </si>
  <si>
    <t>César González</t>
  </si>
  <si>
    <t>á Gefe de brigada al Capitán primero D. Josef Musitu; á Capitanes primeros á los Capitanes segundos D. César González , D. Josef Andía, Don Joaquín Osma, graduado de Teniente Coronel, D. Antonio Tejada y Otalora y D. Joaquín Cáceres; á Capitanes segundos á los Tenientes Don Manuel del Pino, D. Fe</t>
  </si>
  <si>
    <t>Cette</t>
  </si>
  <si>
    <t>evo. Se atribuye esta mudanza á una memoria presentada por Mr. de Mongelas, Ministro de Baviera , á Mr. Cette, Embaxador de la misma potencia en París, en la que manifiesta ampliamente los derechos de su Soberano, y extracta las conferencias que se han tenido con este objeto, tanto en Mun</t>
  </si>
  <si>
    <t>Cevalios, Pedro</t>
  </si>
  <si>
    <t>Pedro Cevalios</t>
  </si>
  <si>
    <t>rvación y felicidad de sus amados vasallos, mandó comunicar las órdenes correspondientes por el Sr. D. Pedro Cevalios, primer Secretario de Estado y del Despacho, al Sr. Gobernador del Consejo, para que oyendo á los Médicos de Cámara D. Juan Gamez, D. Manuel Pereyra y demas de su confianza, infor</t>
  </si>
  <si>
    <t>Cevallos, Pedro</t>
  </si>
  <si>
    <t>Pedro Cevallos</t>
  </si>
  <si>
    <t>al Cadete D. Domingo Sarga. A conseqüencia de la visita que de orden del'Rey, comunicada por el Sr D Pedro Cevallos , primer Secretario de Estado y del Despacho, hizo él Sr. Gobernador del Consejo de los Reales hospitales de Madrid, acompañado del Sr. Marques de las Hormazas, Teniente de Herman</t>
  </si>
  <si>
    <t>ei camino que conduce á ellas, por Real orden que comunicó en Febrero próximo pasado el Excmo. Sr. D. Pedro Cevallos, primer Secretario de Estado y del despacho de la Dirección general de Correos y Camilos.; y en ei corto término de 3 meses que han mediado, se hallan corrientes las 7 leguas de c</t>
  </si>
  <si>
    <t>uarde &amp;c. Por el mismo Ministerio se ha comunicado , con fecha de 30 de Junio, lo siguiente. El Sr. D. Pedro Cevallos me dice, en papel de 26 de este mes, que el gobierno turco acaba de prohibir absolutamente la extracción de seda y lana, en atención á la suma escasez que hay en el imperio de dic</t>
  </si>
  <si>
    <t>e literatos, y otros diversos fines de comodidad &amp;c.” En ii de Agosto de 1803 remitió el Excmo. Sr. D. Pedro Cevallos, primer Secretario de Estado y del Despacho , al Real Jardín Botánico un paquete de las semillas que iloviéron en León, y que según se público en la gazeta de 23 del mismo mes era</t>
  </si>
  <si>
    <t>ue se verificará el domingo próximo 2 de Diciembre. ESPAÑA. • Madrid 14 de Diciembre. El Excmo. Sr. D. Pedro Cevallos , primer Secretario de Estado y del Despacho, ha comunicado de Real orden á todos los Consejos, con fecha de ántes de ayer, el Manifiesto, cuyo tenor á la letra es como sigue: El</t>
  </si>
  <si>
    <t>Chába-nnes</t>
  </si>
  <si>
    <t>tos.' ¡ . ; ' « Ya se han expuesto al público los nuevos coches velocíferos del ciud. Chába-nnes, cuya construcción le proporciona desempeñar su promesa, y á un precio tari moderadoque ño se duda admita el gobierno la propuesta' de encargarse este empresar</t>
  </si>
  <si>
    <t>Chacoleti, Miguel</t>
  </si>
  <si>
    <t>Miguel Chacoleti</t>
  </si>
  <si>
    <t>Subtenencias de bandera en los de Irlanda, Extremadura y Ordenes Militares á los Sargentos primeros D. Miguel Chacoleti , D. Josef Moreno y D. Tomas González, y en los de Zamora y Málaga á los Cadetes Don Antonio María Navarro y D. Pedro Salgado. S. M. se ha servido promover á Subteniente de bander</t>
  </si>
  <si>
    <t>Chacón, Manuel</t>
  </si>
  <si>
    <t>Manuel Chacón</t>
  </si>
  <si>
    <t>y ha promovido en iá misma Compañía á este empleo al Alférez Marques de Lazan;. á Alférez ai Exento D. Manuel Chacón; á Exento de número al Supernu-; mera rio D. Francisco Manrique; á Supernumerario al Brigadier D. Josef. Azcutia; á Brigadieres á los Subrigadieres D. Vicente Bustamanre yD. Josef</t>
  </si>
  <si>
    <t>Chambelán, Lord</t>
  </si>
  <si>
    <t>Lord Chambelán</t>
  </si>
  <si>
    <t>besáronla mano al Rey. El Vizconde Melville, primer Lord del Almirantazgo : el Conde de Darmouth , Lord Chambelán: Lord Ilarrowby, Secretario de Estado para negocios extrangeros: Lord Hawkes— bury, Secretario de Estado para negocios de lo interior: el Conde de Camden para el departamento de l</t>
  </si>
  <si>
    <t>Champagni</t>
  </si>
  <si>
    <t>,donde presenciará las del campo de Praga. Muchos Ministros extrangeros irán á Moravia y á Bohemia. Mr. Champagni debia hacer este viage; pero los últimos pliegos que ha recibido de París le han precisado á abandonar este proyecto, y á acelerar su regreso á aquella capital. £1 General Latour man</t>
  </si>
  <si>
    <t>Champagny</t>
  </si>
  <si>
    <t>Chaptal ha hecho dimisión del ministerio que tenia de lo interior , y ha sido nombrado en su lugar Mr. Champagny, Embaxador en Viena. En el ínterin ha tomado la bolsa Mr. Portalis, Ministro de los cultos. Con motivo de esta dimisión ha escrito S. M. I. la carta siguiente á Mr. Chaptal. ,,Mr.</t>
  </si>
  <si>
    <t>onía entre Francia y Rusia; y se espera, con algún fundamento, que todo se compondrá amistosamente. Mr. Champagny prepara en Viena una fiesta muy ostentosa para el 15 del corriente, aniversario del nacimiento del Emperador Napoleón. Asistirán todos los Ministros austríacos, los individuos del</t>
  </si>
  <si>
    <t>e sabe que el General Bruñe, Embaxador de Francia cerca de la Sublime Puerta, vendrá á reemplazar á Mr. Champagny en aquella capital. GRAN BRETAÑA. Londres 22 de Agosto. Los Directores de la Compañía de la India, para recompensar el zelo y el valor con que la flota de la China ha combatido la e</t>
  </si>
  <si>
    <t>Champañac, Pedro</t>
  </si>
  <si>
    <t>Pedro Champañac</t>
  </si>
  <si>
    <t>ranaderos , graduado de Capitán, D. Ramón de Santiago: Tenencias en el de Borbon á los Subtenientes D. Pedro Champañac, D. Luis de Rantiere y D. Josef Puech; y Subtenencias de bandera en el de la Princesa al Sargento primero D. Isidoro López: en el de Valencia al Cadete del de España D. Antonio Qu</t>
  </si>
  <si>
    <t>Chaparro, Fernando</t>
  </si>
  <si>
    <t>Fernando Chaparro</t>
  </si>
  <si>
    <t>el de Soria al Sargento primero D. Ignacio Lozano; y en el de Jaén al dé igual clase de granaderos D. Fernando Chaparro: el empleo de Gapitañ sFgfindo en el primar batallón de Voluntarios de Aragón al Téaiente'-D.fíAtitohio Perez ; y el de primer Ayudante en el segundo de Voluntario^ dé'Barcefóna a</t>
  </si>
  <si>
    <t>Chaptal</t>
  </si>
  <si>
    <t>, encargado de la instrucción de la tropa de reserva que se halla en esta plaza. Paris 8 de Agosto. Mr. Chaptal ha hecho dimisión del ministerio que tenia de lo interior , y ha sido nombrado en su lugar Mr. Champagny, Embaxador en Viena. En el ínterin ha tomado la bolsa Mr. Portalis, Minist</t>
  </si>
  <si>
    <t>Charles Sheridan</t>
  </si>
  <si>
    <t>ública: venían á bordo de este buque 28 Oficiales franceses, quienes se hallan ahora en Sta. Lucía. Mr. Charles Sheridan, hermano de Mr. R. B. Sheridan , miembro del Parlamento, ha inventado un aparato, por medio del qual, sin auxilio de otros espejos, la misma persona, ú otro objeto dado, puede ver</t>
  </si>
  <si>
    <t>Chatham, Lord</t>
  </si>
  <si>
    <t>Lord Chatham</t>
  </si>
  <si>
    <t>s discordante y absurdo. Sin duda el escritor tenia alguna idea confusa del Ministerio enérgico del Lord Chatham, que no principió hasta la famosa coalición de 1757» hasta cuyo tiempo ia conducta general de los negocios no fué mas que una serie de temeridad y pusilanimidad, de contradiccione</t>
  </si>
  <si>
    <t>Chavier, Luis</t>
  </si>
  <si>
    <t>Luis Chavier</t>
  </si>
  <si>
    <t>pellanía Real de lá Catedral de Pamplona, vacante por muerte de Don Francisco Xavier dé Viüanueva á D. Luis Chavier. S. M. se ha servido nombrar para el Benefició de la Parroquial de San</t>
  </si>
  <si>
    <t>Checa y Ortega, Francisco</t>
  </si>
  <si>
    <t>Francisco Checa y Ortega</t>
  </si>
  <si>
    <t>cacépas y Viilalvilla, en el mismo obispado de Cuenca, por haber fallecido D. Juan Gómez Cornejo, á D. Francisco Checa y Ortega, Cura de S. Pedro de Paiunches, en el propio obispado, á fin de que pueda mantener un Teniente que le ayude al desempeño de su ministerio * para el Beneficio préstamo del lugar de</t>
  </si>
  <si>
    <t>Chevallier</t>
  </si>
  <si>
    <t>les edificios de París. . . Todos los Tribunos han sido nombrados individuos de la Legión de honor. Mr. Chevallier, artista muy conocido, acaba de construir un Instrumento , Wamzáo ga lactómetro, que viene áser un tubo de vidrio, semejante al pesalicores, graduado desde o hasta 4 grados. Sirve</t>
  </si>
  <si>
    <t>Chicherio, Basilio</t>
  </si>
  <si>
    <t>Basilio Chicherio</t>
  </si>
  <si>
    <t>eros: en el de Traxler Tenencia al Subteniente de granaderos D. Luis Casly; y Subtenencia al Cadete D. Basilio Chicherio: en el de Ruttiman Subtenencia al Cadete D. Josef Antonio Gramaren: en el de Redirig el empleo de Ayudante al Teniente D. Antonio Stéeger; y Subtenencias á los Cafdetes D. Carlos</t>
  </si>
  <si>
    <t>Chico, Gregorio</t>
  </si>
  <si>
    <t>Gregorio Chico</t>
  </si>
  <si>
    <t>141-25 Gregorio Chico................... Carrascalejo................— 141..25 Juan García......................... Madriguera................. ... i4i-25 Manuel Camino..................</t>
  </si>
  <si>
    <t>Chruten, Antonio</t>
  </si>
  <si>
    <t>Antonio Chruten</t>
  </si>
  <si>
    <t>eros al de fusileros D. Adriano Waiker: en el de Traxler á Capitán de granaderos al Capitán segundo D. Antonio Chruten; á Subteniente de granaderos al de fusileros D. Jorge Traxler; y en el de Reding á Teniente al Subteniente de fusileros D. Bonifacio Jutz. En los Regimientos de caballería de líne</t>
  </si>
  <si>
    <t>Cid y Vázquez, Juan</t>
  </si>
  <si>
    <t>Juan Cid y Vázquez</t>
  </si>
  <si>
    <t>para el Corregimiento de Letras de las Merin— dades de Castilla la Vieja, su capital Villarcayo, á D. Juan Cid y Vázquez: para la Vara de Alcalde mayor de la villa de Lezuza á D. Josef Vallugera y Nuñez: para la de Brihnega á D. Antonio Abad Ibañez ; y para la de la Seca á D. Ramón Alonso de Soto. H</t>
  </si>
  <si>
    <t>de fiesta entera. En la Gazeta del viérnes 2 dél corriente, núm. 88 , pág*. 977 , línea 5, se dixo D. Juan Cid y Vázquez, léase D. Francisco. Plan de la población de Madrid, con expresión de l©s conventos, colegios, hospitales, cárceles &amp;c.: su precio un real. Descripción de las provincias de España</t>
  </si>
  <si>
    <t>Cid, Tomás</t>
  </si>
  <si>
    <t>Tomás Cid</t>
  </si>
  <si>
    <t>e D. Juan Pascual de Churruca á la Abadía de Castroxeriz, dignidad de la metropolitana de Burgos, á D. Tomas Cid, Ra cionero mas antiguo de ella: para otra, también Car-* denalicia, de la propia iglesia, vacante por fallecimiento de D. Mateo Vázquez, á D. Gerónimo del Valle, Abad y Cura Rect</t>
  </si>
  <si>
    <t>Cienfuegos, Juan</t>
  </si>
  <si>
    <t>Juan Cienfuegos</t>
  </si>
  <si>
    <t>ciudad: para otra de la metropolitana de México á D. Ignacio Josef Pico ; y para su Media-Ración á D. Juan Cienfuegos, Cura de la parroquia de S. Sebastian de la misma ciudad. También se ha dignado el Rey nombrar para una plaza de Oidor de la Audiencia de Goatemala, vacante por promoción de D. Ja</t>
  </si>
  <si>
    <t>Cifu, Francisco Gerónimo</t>
  </si>
  <si>
    <t>Francisco Gerónimo Cifu</t>
  </si>
  <si>
    <t>asíén algunas -igler aias de España, S. S., en uso'de su .regalía».,- .sjeEa*; dignado* cordetir 4' D. Francisco Gerónimo Cifu entes Fiscal de la Nunciatura de AÍadrid, la dignidad de Chantre de la catedfáí de Lérida, vacante por promccion de D. Eduardo María Saenz: á DFBenito Gltega la dignidad de Tesorero</t>
  </si>
  <si>
    <t>Cimavilla, Manuel</t>
  </si>
  <si>
    <t>Manuel Cimavilla</t>
  </si>
  <si>
    <t>aderos al de fusileros D. Josef Joaquín Arias ; á Capitanes a los Te nientes D. Josef María Muxica, D. Manuel Cimavilla y D. Manuel Josef Valenzuela; á Tenientes de granaderos á los de fusileros D. Josef Benica y D. Francisco Diez Barroso; á Tenientes á los Subtenientes de granaderos D. Rafael Montero</t>
  </si>
  <si>
    <t>Cincúnegui, Ignacio</t>
  </si>
  <si>
    <t>Ignacio Cincúnegui</t>
  </si>
  <si>
    <t>undos D. Mariano Montoya y D. Luis Gastón; y á Capitanes segundos á los Tenientes D. Luis Menendez, D. Ignacio Cincúnegui, D. Pascual Antillon, D. Joaquín Hidalgo, D. Joa'quin Lirón, D. Francisco Bermudez y D. Josef de Córdoba. En los regimientos provinciales ha promovido S. M. á Coronel del de Soria</t>
  </si>
  <si>
    <t>Cinesty, Bernardo</t>
  </si>
  <si>
    <t>Bernardo Cinesty</t>
  </si>
  <si>
    <t>dro Boneti; á Cadete de numera al supernumerario D. Vicente Planchón, y a supernumerario al Guardia D. Bernardo Cinesty. S. M. se ha servido conferir, la: Comandancia del tercer batallón del regimiento de infantería de la Princesa al Coronel Di Francisco Blanco, Teniente Coronel agregado al primer</t>
  </si>
  <si>
    <t>Ciríaco de Cevallos</t>
  </si>
  <si>
    <t>Supl., p. 12</t>
  </si>
  <si>
    <t>orios de las del Capitán de Fragata D. Joséf del Rio, á lá parte S. de Cuba ; y él Capitán de Navio D. Ciríaco de Cevallos en las costas de Yucatán y sonda de Campeche. «Si se comparan, dice Cevallos, los ele</t>
  </si>
  <si>
    <t>Cirilo Lessasier</t>
  </si>
  <si>
    <t>Diego Salazar ; á Subtenientes de (j^in pañía los de bandera E&gt;. Juan Galguera, D. Bernardo Prieto, D. Cirilo Lessasier, D. Juan Treviño y D. Luis Dreux , el Sargento primeroJJ). Manuel Rubio y el Cadete D. Francisco Devillers; y i Subtenientes¿¿e bandera los Sargentos primeros D.; Juan Josef Bon y</t>
  </si>
  <si>
    <t>Cirilo Martínez</t>
  </si>
  <si>
    <t>........... 283..16 Cirilo Martínez.................... Colmenar de Oreja......... 14/ Félix Gil............................. Cadalso.............. ............. 141..25 Juan Fernandez.......</t>
  </si>
  <si>
    <t>Ciro de Meneses y Camacho</t>
  </si>
  <si>
    <t>era clase: para la de Hornachos á D. Andrés Amat y Robles; y para el Corregimiento de Guadalcanal á D. Ciro de Meneses y Camacho, las dos de segunda clase, y todas en el territorio de la Orden de Santiago. . También ha concedido S. M. á D. Domingo Bayer, Oidor de la Audiencia de Valencia, honores de Alcalde</t>
  </si>
  <si>
    <t>Cisca, Tomás</t>
  </si>
  <si>
    <t>Tomás Cisca</t>
  </si>
  <si>
    <t>ez de Cela, Di Joaquín Bocalan y Vázquez , D. Juan (üródóy y Castró1; D.áNicolastdel Rio Nogúerido, D. Tomas Cisca r y Orióla y D. Sébastiáiír:Bufler y Henriquez, D. Francisco Ris.tori y Medina, D. Luis Liniers y Menibielle, Don Santiago Soroa y Soroá, D* Carlos Vaicárcel y RosiqueyD. Juan Car</t>
  </si>
  <si>
    <t>Ciscar, Francisco</t>
  </si>
  <si>
    <t>Francisco Ciscar</t>
  </si>
  <si>
    <t>* Reflexiones sobre las máqtiinas y maniobras del uso de á bordo, por el Capitán de Navío: graduado D. Francisco Ciscar: un tomo en pasta.............................................................. 6o. 42. Examen marítimo teórico practico, ó tratado de Mecánica aplicado á la construcción, conocim</t>
  </si>
  <si>
    <t>Ciscar, Gabriel</t>
  </si>
  <si>
    <t>Gabriel Ciscar</t>
  </si>
  <si>
    <t>Supl., p. 11</t>
  </si>
  <si>
    <t>. 2. 2. Memoria elemental sobre los nuevos pesos y medidas decimales fundados en la naturaleza, por D. Gabriel Ciscar, Capitán de Na»i vio de la Real Armada..... ................... 10.8. Explicación de varios métodos gráficos para corregir las distancias lunares con la aproximación necesaria par</t>
  </si>
  <si>
    <t>con que se halla al intento. Curso de estudios elementales de Marina, escrito de orden de S. M. por Don Gabriel Ciscar, Capitán de Navio de la Real Armada: tomo 4.0, que contiene el tratado de Pilotage. Véndese á 1 2 rs. en rústica en el despacho de la imprenta Real y en las Academias de Guardias</t>
  </si>
  <si>
    <t>CJaud</t>
  </si>
  <si>
    <t>r. D. Torquato Antonio Collado, Teniente Corregidor de esta villa, y ante el Escribano de su número D. CJaud io Sanz. zzz Por el mismo Sr. Teniente, y escribanía del numeró^de D, Ramón de Milla Cuellar, se ha señalado el dia 12 del corriente, á las puertas cíe la audiencia de S. S., y ho</t>
  </si>
  <si>
    <t>Cl, Francisco</t>
  </si>
  <si>
    <t>Francisco Cl</t>
  </si>
  <si>
    <t>s D. Francisco Valderrama, D. Josef Power.y D. Josef Viñals: i. Capitanes segundos ,á los Tenientes D. Francisco Cl.os, D. Tomas Corrochano, D,. Rafael Villar,, graduado de Capitán, D. Bartolomé Lison, de granaderos, D. Joaquín Goyena, idem, D. Josef AHllasante, idem, D. Mariano Caro y D. Pedro</t>
  </si>
  <si>
    <t>Claret, Francisco</t>
  </si>
  <si>
    <t>Francisco Claret</t>
  </si>
  <si>
    <t>iado, el sugeto que los tuviere, los entregará en Cádiz á dichos Sres. D. Antonio Coma y Fortet y á D. Francisco Claret, y en Manresa al citado D. Onofre Serra, ó en Madrid á D. Inocencio Coma y Masvidal, que vive calle de Jacometrezo, núm. 11, quarto principal. Quien quisiere tomar en arrendamient</t>
  </si>
  <si>
    <t>Clary</t>
  </si>
  <si>
    <t>ctubre. Ei diario Liguriano del 29 de Setiembre dice, que el 22 pasó por Génova, viniendo de Turin, Mr. Clary, cuñado del Príncipe Joset Bonaparte, que iba á toda diligencia á Roma. El dia 24 pasó por la misma ciudad el General Caffarelli con ei encargo, según dicen, de entregar á S. S. p</t>
  </si>
  <si>
    <t>© Co nsejero de Estado y Secretario íntimo del Gabinete de S. M. I. para, la guerra. Se asegura que Mr. Clary, cuñad-o de S. A. I. el Príncipe fosef, ha «alido para Italia con el encargo de acompañar á la madre derErnpera■cLor, que viene á ver la coronación.</t>
  </si>
  <si>
    <t>Clavijo, Salvador</t>
  </si>
  <si>
    <t>Salvador Clavijo</t>
  </si>
  <si>
    <t>arreta, D. Pablo Bustamante, D. Domingo Allende, D. Antonio Valcárcel, D. Antonio Díaz de Córdoba , D. Salvador Clavijo, D. Josef Julián, D. Francisco Topete, D. Manuel del Castillo, D. Vicente María Saavedra, D. Miguel Montemayor, D. Antonio Ausejo, D. Martin de Mendoza, D. Felipe Ibargiien, D. Fr</t>
  </si>
  <si>
    <t>Clemente Casellas</t>
  </si>
  <si>
    <t>68 D. Antonio Vilana: para otro de la catedral de Gerona, vacante por muerte de D. Antonio Ribas, á D. Clemente Casellas; y para otro de la misma iglesia, vacante por renuncia de D. Jayme Rui, á D. Pablo Ros y Dordas. S. M. se ha servido promover á Capitán segundo en el primer batallón de Voluntario</t>
  </si>
  <si>
    <t>Clemente de Arósteguij, Benito</t>
  </si>
  <si>
    <t>Benito Clemente de Arósteguij</t>
  </si>
  <si>
    <t>vano, quitarnos esta: compuesta y ponunciada en latín en la sagrada Academia napolitana por el Sr. D. Benito Clemente de Arósteguij.del Consejo de S. M. en el Supremo de Hacienda ; y traducida al castellano por el Dr. D. Juan Clavero. Se hallará en la librería de Raiíz, calle de la Cruz, y en Jaén casa de D. A</t>
  </si>
  <si>
    <t>Clemente Gerusa</t>
  </si>
  <si>
    <t>e mayor D. Josef Estivil; á este ultimo empleo al Teniente D. Francisco Ca t avaca , y á Teniente á D. Clemente Gerusa, Subteniente de la Compañía fixa de Mallorca. Igualmente ha conferido S. M. Tenencia en el regimiento de caballería del Infante , quarto de línea, al Alférez D. Francisco Camarero</t>
  </si>
  <si>
    <t>Clemente Llccér</t>
  </si>
  <si>
    <t>ñor D. Clemente Llccér., Obispo de Ibiza, á los 62 años y un mes de su edad. Las singulares prendas de dicho Prelado, su vasta erudición, y el conjunto de virtudes morales que lo adornaban, le grangeáro</t>
  </si>
  <si>
    <t>Clemente Llocer</t>
  </si>
  <si>
    <t>e ha servido nombrar para el Obispado de Ibiza, en la isla de Menorca, vacante por fallecimiento de D. Clemente Llocer, á Don Blas Jacobo Beltrano, Cura de la Parroquia de S. Andrés de Toledo. S.* M/ se há dignado nombrar para úha Ración1 de la Catedral de Málaga, vacante por promoción de t&gt;. Dion</t>
  </si>
  <si>
    <t>Clemente Reoyo</t>
  </si>
  <si>
    <t>Guerra___ Y en la escuela llamada del Rey, que está baxo la inspección de la Sociedad, y que dirige D. Clemente Reoyo , se concedió el premio á Victoriano Arias y Higinio Mato, y el accessit á Francisco Ruiz del Amo é Ignacio Moro___ Y con el discurso gratulatorio que leyó D. Francisco María ce F</t>
  </si>
  <si>
    <t>s y medio. En la escuela llamada del Rey, que está baxo la inspección de la Sociedad , y que dirige D. Clemente Reoyo, se concedió el premio primero á Dionisio Fernandez y Mariano Garnacho; y el segundo á Mariano Garrido y Lorenzo Lebrero. A la adjudicación de los premios precedieron exámenes púb</t>
  </si>
  <si>
    <t>Clemente, Papa</t>
  </si>
  <si>
    <t>Papa Clemente</t>
  </si>
  <si>
    <t>r parte de un grupo en que actualmente trabaja, y el torzo de un genio que se ve en el sepulcro del Papa Clemente xm en Roma. No habiendo lugar proporcionado para exponerlas al público, se ha suplicado al Director deLmuseó Napoleón las coloque interinamente en el salón de pinturas.. ! VEl mon</t>
  </si>
  <si>
    <t>Clephane, General</t>
  </si>
  <si>
    <t>General Clephane</t>
  </si>
  <si>
    <t>icia de la muerte del Teniente General Grinfield, Comandante general de aquellas islas, y del Mayor General Clephane , Gobernador de 'la Granada, que ,han perecido víctimas de la íiebre amarilla, que hace allí grandes estragos. También se ha recibido noticia de haber salido una expedición contra</t>
  </si>
  <si>
    <t>Climent, Vicente</t>
  </si>
  <si>
    <t>Vicente Climent</t>
  </si>
  <si>
    <t>artin de Mendoza, D. Felipe Ibargiien, D. Francisco Solís, D. Josef Pasalagua, D. Diego de Aguirre, D. Vicente Climent, D. Juan Albornoz, D. Joaquin de Toledo, D. Joaquin Leones, D. Julián Leones, D. Pedro Rato Cisneros, D. Justo Salafranca, D. Baltasar Cornelias, D. Josef Rodríguez Truxillo, D. J</t>
  </si>
  <si>
    <t>Co, General</t>
  </si>
  <si>
    <t>General Co</t>
  </si>
  <si>
    <t>ibunales de apelación criminal y de primera instancia , el Consejo general del departamento Scc. ei General Co(mándante del departamento, el .Obispo y su Clero , y la Cámara consultiva de comercio. S.M. empleó, casi todo el día en conferenciar con los -diferentes cuerpos * y en oir todas l</t>
  </si>
  <si>
    <t>Cobelo, Francisco</t>
  </si>
  <si>
    <t>Francisco Cobelo</t>
  </si>
  <si>
    <t>ara el Beneficio de la villa de Lebrija, en el Arzobispado de Sevilla, vacante por fallecimiento de D. Francisco Cobelo, á D. Agustín González y Bulnes, Guardia de Corps de dicha Compañía Española, con la obligación de precisa y personal residencia, y demas cargas que tiene anexas: para el Medio Pr</t>
  </si>
  <si>
    <t>Cocio, Miguel</t>
  </si>
  <si>
    <t>Miguel Cocio</t>
  </si>
  <si>
    <t>os de bandera D. Pedro de la Pera y D. Josef de Varona, y los Cadetes D. Ma-* nuel Antonio Borrero, D. Miguel Cocio y D. Ubaldo Socorras, y á Subtenientes de bandera á los Cadetes D. Esteban de Varona y D. Miguel de Arosteguí. S. M. se ha servido conferir el Gobierno militar y político de Cumaná, e</t>
  </si>
  <si>
    <t>Coessin</t>
  </si>
  <si>
    <t>n observar las personas instruidas que lean el plan de instrucción adoptado. El ciud. Coessin se propone establecer otra escuela como esta en París la primavera próxima : bien que no reunirá en su principio los conocimientos que junta- la de Fa.lai.se ,</t>
  </si>
  <si>
    <t>Coessip</t>
  </si>
  <si>
    <t>ando con exactitud las calidades que requieran en el jóv^n. que necesitaren. EL ciud. Coessip les contestará determinando la épo-ca en que podrá satisfacer, á, los encargos . que le hagírn----- La educación de esta escuela será ;al, que no entre en ella</t>
  </si>
  <si>
    <t>Collado, Juan</t>
  </si>
  <si>
    <t>Juan Collado</t>
  </si>
  <si>
    <t>imen, vacante en la Audiencia de México por ascenso de D, Josef Arias Villafatíe á otra de Oidór, á D. Juan Collado: para la de Oidor que este dexa en la de Guatemala al de Buenos-Ayres D, Joaquín Bernardo Campuzano *, y para esta resulta á D. Manuel Josef de Reyes, electo Oidor de la de Manila</t>
  </si>
  <si>
    <t>Collantes, Francisco</t>
  </si>
  <si>
    <t>Francisco Collantes</t>
  </si>
  <si>
    <t>iento de infantería de Burgos se ha servido el Rey promover á Teniente at Subteniente de granaderos D. Francisco Collantes; y á Subteniente de bandera en el de Jaén al Cadete D. Joaquín Rodríguez de Ribera. En el batallón de Voluntarios de Valencia se ha servido el Rey pro</t>
  </si>
  <si>
    <t>Collantes, Ramón</t>
  </si>
  <si>
    <t>Ramón Collantes</t>
  </si>
  <si>
    <t>Juan Casquero, Ayudante del de Borbon , graduado de Teniente Coronel: á Alférez en el de la Reyna á D. Ramón Collantes;á Portaestandartes en ei mismo Cuerpo al Cadete D. Fernando Suarez, y al Sargento primero D. Josef Aranda: á- Alférezen el de Calatrava á D. Juan Vazquez; y á Portaestandarte al S</t>
  </si>
  <si>
    <t>Colletes y Soler, Domingo</t>
  </si>
  <si>
    <t>Domingo Colletes y Soler</t>
  </si>
  <si>
    <t>, unido á otros quatro de la misma, de la Parroquial de la ciudad de Cervera, Diócesi de Solsona, á D. Domingo Colletes y Soler; y para otro de residencia , baxo la invocación de S. Esteban segundo* unido al de S. Miguel de la Parroquial de la villa de Berga, Diócesi de Solsona, á D. Josef Canudes y Mercad</t>
  </si>
  <si>
    <t>Collinghs, Mateo</t>
  </si>
  <si>
    <t>Mateo Collinghs</t>
  </si>
  <si>
    <t>a, América y Nápoles, á los Subtenientes D. Josef María de Andrade, Don Joaquín Bas, D. Juan Yañez, D. Mateo Collinghs,D. Josef Peña Carrillo, D. Antonio Designi y D. Juan Medina: y Subtenencias de bandera en los de España, Burgos, Uitonia y Borbon , á los Sargentos primeros D. Fernando Carrasco ,</t>
  </si>
  <si>
    <t>Colmenares, Ana</t>
  </si>
  <si>
    <t>Ana Colmenares</t>
  </si>
  <si>
    <t>en la plazuela dél Angel de esta corte, núm. 10, manz. 214, correspondiente al vínculo fundado por Doña Ana Colmenares, tasada en venta en 99,500 rs.,y en renta en 4975, y produce al presente 3740, que se vende, á virtud de Real facultad, para la reparación de otras fincas á dinero metálico, con q</t>
  </si>
  <si>
    <t>Colmenero, Antonio</t>
  </si>
  <si>
    <t>Antonio Colmenero</t>
  </si>
  <si>
    <t>para el Arcedianato de Béjar, Dignidad der la catedral de Plasencia , vacante por fallecimiento de D. Antonio Colmenero, á D. Francisco de Sales Santistéban , Canónigo de la de Zamora: para una Ración -de la iglesia primada de Toledo, vacante por promoción de D.i Juan FéB;x García á Canongía de. el</t>
  </si>
  <si>
    <t>Colomar, Bartolomé</t>
  </si>
  <si>
    <t>Bartolomé Colomar</t>
  </si>
  <si>
    <t>nes las que tienen absolutamente la autoridad de decidir de la verdad de los hechos, por esta razón D. Bartolomé Colomar, Médico de los Reales Exércitos y de los hospitales General y Pasión de esta Corte&gt; se determinó á ensayar las unturas generales de ,aceyte de olivas en algunos enfermos, para pod</t>
  </si>
  <si>
    <t>Colon, Diego</t>
  </si>
  <si>
    <t>Diego Colon</t>
  </si>
  <si>
    <t>3.° mayor: Cervantes, Qnixote, 6 tomos en tz.°, de la imprenta Real con estampas---- Retórica. i.°: D. Diego Colon: Cornelio Tácito con la traducción ce Coloma, de la imprenta Real, 4 tomos en 4.0 mayor. 2.0 : D. Josef Salazar : Salustio cum notis variorum—^ Poética. i.° : D. Diego Colon: Cerv</t>
  </si>
  <si>
    <t>Coma y Fórtet, Antonio</t>
  </si>
  <si>
    <t>Antonio Coma y Fórtet</t>
  </si>
  <si>
    <t>Ó02 En io de Abril último remitieren por el correo los Sres. D. Antonio Coma y Fórtet y D. Francisco Claret, de Cádiz, á D. Onofre Serra, de Manresa, en Cataluña» 3 vales Reales de 150 pesos, creación de i.° de Enero, niims. 265,862, 285,996 y 300,646, endosados por aq</t>
  </si>
  <si>
    <t>Comandante Americano</t>
  </si>
  <si>
    <t>dió que sabiendo por la experiencia de lo pasado lo que podía hacer entonces el Comandante Americano , y lo que haría después de reunidas todas las fragatas , fincaba irrevocablemente en 40® pesos fuertes el precio dei rescate y de la paz, sin contar con el re</t>
  </si>
  <si>
    <t>Comandante Español</t>
  </si>
  <si>
    <t>n á reco^plcerla. Lo que ha sucedido quando nuestra esquadra intentó detener al Comandante Español, era ciertamente muy fácil de preveer. El atentado de detener á los buques Españoles no pudo proponerse al Comandante Español,-sin que este faltase al deber y</t>
  </si>
  <si>
    <t>y la afirmó con un cañonazo con bala; lo que igualmente executó por su parte el Comandante Español al afirmar la bandera Española; pero en el mismo instante en que lo executaba, le descargó la fragata Inglesa toda una andanada. Hallábase entonces á la voz el</t>
  </si>
  <si>
    <t>1135 nían tres á bordo, pidió por favor al Comandante Español qne íe enviase el bote á su costado. Iíízose así yendo en él un Alférez de Navio, quien estuvo esperando hasta que le diéron una cana en Ingles, que entregó al</t>
  </si>
  <si>
    <t>Comandante Generales de las Provincias</t>
  </si>
  <si>
    <t>exaltación de sus nobles sentimientos, y se harán prodigios. A los Capitanes 6 Comandantes Generales de las Provincias corresponde entusiasmar el ánimo de sus tropas; y á los Reverendos Arzobispos y Obispos, Prelados eclesiásticos, y Getes políticos de todos los cuerpos del Est</t>
  </si>
  <si>
    <t>Comandante Ingles</t>
  </si>
  <si>
    <t>tro Gobierno.” Esta noticia causó suma sorpresa. Está visto y calificado que el Comandante Ingles tenia orden de detener las fragatas Españolas que se esperaban de América con caudales; y así cumplió su deber con la prontitud y bizarría de un buen marino, s</t>
  </si>
  <si>
    <t>ue no había contestado por no comprometer á su Corte, y porque acaso no tuvo el Comandante Ingles intención de ofender. El Comandante del navio Ingles respondió , que sin duda habria sido alguna equivocación, y que para manifestar la buena armonía que reyna</t>
  </si>
  <si>
    <t>Comandante Ingles Graham Moore</t>
  </si>
  <si>
    <t>de la Plata á Cádiz, trayendo á bordo muchos caudales. Las órdenes que tenia el Comandante Ingles Graham Moore eran de detener á las naves Españolas; á lo que resistiéndose estas, se trabó el combate, durante el qual se voló una de las fragatas Españolas, al disparar una</t>
  </si>
  <si>
    <t>Comandante Muhamed-Baxá</t>
  </si>
  <si>
    <t>beduinos, componen un cuerpo de 12© hombres, y han puesto sitio al Cayro, cuyo Comandante Muhamed-Baxá se verá muy apurado para estorbar la entrada á aquellos enemigos de la Sublime Puerta. Venecia jo de Julio. Por cartas de Roma, de personas fidedignas, puede a</t>
  </si>
  <si>
    <t>Comandante Preble</t>
  </si>
  <si>
    <t>ñonera, y tomando al abordage 3 cañoneras Tripolinas. Al día siguiente enrió el Comandante Preble 14 heridos á tierra, con pretexto de no tener provisiones frescas que suministrarles. Admitiólos el Baxi auqque coi* dificultad, y el Coxnandante Americano le</t>
  </si>
  <si>
    <t>e debía hacérsele, y á los empleados de la Regencia. En estas circunstancias el Comandante Preble se* ve precisado á embestir, sin cesar, la plaza, los fuertes y el castillo, para reducir, si es posible, al Baxá á que haga algunas propuestas, á lo que no pa</t>
  </si>
  <si>
    <t>Comandante Servio Jakpblun</t>
  </si>
  <si>
    <t>espués de haberla saqueado, y'volvieron á pasar precipitadamente el Drina.__ El Comandante Servio Jakpblun mandó prender, en Schabatz, á quantos Turcos habian quedado: dos de ellos, que habian sido espías de Muss-Agá, fuéron ahorcados al momento, y otros</t>
  </si>
  <si>
    <t>Comandante, Coronel</t>
  </si>
  <si>
    <t>Coronel Comandante</t>
  </si>
  <si>
    <t>jados en suscasas. . " ’ París 24 de Abril. El primer Cónsul ha4nombrado al Senador Josef Bonaparte Coronel Comandante del quárto regimiento de infantería dé linca , participándolo por un mensage- al Seña-do conservador. Dice el primer Cónsul i que habiendo aquel Senador manifestándole fia dlo 4$ part</t>
  </si>
  <si>
    <t>Comandante, General</t>
  </si>
  <si>
    <t>General Comandante</t>
  </si>
  <si>
    <t>ión, compuesta de los principales fabricantes de esta ciudad y de las de Montjoie y de Stolberg. El General Comandante de la 26.a división militar, el Prefecto del departamento, el R. Obispo y los Coroneles del 23.0 regimiento de caballería y del 19.0 de infantería, han tenido el honor de comer con S. M</t>
  </si>
  <si>
    <t>Comandante, Mariscal</t>
  </si>
  <si>
    <t>Mariscal Comandante</t>
  </si>
  <si>
    <t>unciar la fiesta del dia siguiente 1* Vendimtario. A las 6 de la mañana siguiente hubo parada, y ei Mariscal Comandante en gefe repartió las insignias de la Legión de honor á algunos militares. Todos los buques de la esquadrilla estaban empavesados. León 22 de Setiembre. La Legión Hannoveriana, compu</t>
  </si>
  <si>
    <t>Comas, Juan Bautista</t>
  </si>
  <si>
    <t>Juan Bautista Comas</t>
  </si>
  <si>
    <t>á D. Josef Forniob para otro de la parroquial de Tordera, diócesi de Gerona, vacante por muerte de D. Juan Bautista Comas, á D. Hilario Muntalt; y para otro de la parroquia de Figueras, en la propia diócesi, vacante por fallecimiento de D. Francisco Basedas, á D. Francisco Calcina. En la Compañía Ame</t>
  </si>
  <si>
    <t>Cómbe</t>
  </si>
  <si>
    <t>a adquisición tanto mas importante quanto no existe en toda la Francia otro exemplar de este libro. Mr. Cómbe, que ha publicado hace po*co tiempo una edición herniosa , no habla palabra de La qué acaba de adquirir la biblioteca nacional, y que seguramente ha precedido á la d¿e 1474, que e</t>
  </si>
  <si>
    <t>Comuto, Antonio (conde)</t>
  </si>
  <si>
    <t>Conde Antonio Comuto</t>
  </si>
  <si>
    <t>sidente de la legislatura. La dignidad de Príncipe, primer magistrado de la República, recayó en el Conde Antonio Comuto , y las de Censores en el Conde Antonio Capodistria, Conde Juan Sicuro y Nicolás Migliaressi. • El 25 tomó posesión el Senado. El Cuerpo legislativo, á quien la constitución atrib</t>
  </si>
  <si>
    <t>Concha y Xara, Benito</t>
  </si>
  <si>
    <t>Benito Concha y Xara</t>
  </si>
  <si>
    <t>Cuzco, vacante por ascenso de D. Francisco Xavier de Andazabal á la Dignidad de Tesorero de ella, á D. Benito Concha y Xara, Cura de la doctrina de Putina en aquel obispado: para otra Canongía de gracia de la catedral de Valladóiid de Mechoacan, vacante por traslación de D. Luis Cerpa Manrique á igual</t>
  </si>
  <si>
    <t>Conde de Grane, Coronel</t>
  </si>
  <si>
    <t>Coronel Conde de Grane</t>
  </si>
  <si>
    <t>s sobre la tumba del guerrera muerto por ella. ALEMANIA. Viena 14 de Abril. S. M. I. ha nombrado al Coronel Conde de Grane, Ministro cerca de la corte de Dinamarca, en lugar del Conde de Kaunitz. El campamento dePest, en Hungría, empezará en el mes de Julio. Asistirá á él el Emperador; pero aun no se</t>
  </si>
  <si>
    <t>Conde de Kutusoff, General</t>
  </si>
  <si>
    <t>General Conde de Kutusoff</t>
  </si>
  <si>
    <t>s de Suontelen y de Buxhoudens la segunda mandada por él Gran Duque Constantino Pawlewitch,y por el General Conde de Kutusoff. El Emperador está en ácimo de mandar , entre otras evoluciones, un desembarco, para el qual servirán las galeras que hay en el golfo, á 4 millas de Oranienbaum.. A la salida del</t>
  </si>
  <si>
    <t>Conde de Pahien, General</t>
  </si>
  <si>
    <t>General Conde de Pahien</t>
  </si>
  <si>
    <t>. Se ha enviado un batallón de infantería para atajar. si es posible , el incendio. , . T , , El ex-General Conde de Pahien ha llegado a esta capital de vuelta deMittau. iTT,,f,.TT* ALEMANIA. Viena 28 de Agosto. La cazeta de la Corte babia designado hasta ahora al Emperador de los Franceses con el títu</t>
  </si>
  <si>
    <t>Conde de Tauenzyen, General</t>
  </si>
  <si>
    <t>General Conde de Tauenzyen</t>
  </si>
  <si>
    <t>erá su viage con ánimo de ir á pasar revista á sus tropas en la Silesia. Tienese por cierto, que el General Conde de Tauenzyen irá muy pronto á París, con el objeto de felicitar, en nombre del Rey, al Emperador de los franceses. ALEMANIA. Semlin 20 de Mayo, Según las apariencias se decidirá muy pronto la</t>
  </si>
  <si>
    <t>Conde de Wartensleben, General</t>
  </si>
  <si>
    <t>General Conde de Wartensleben</t>
  </si>
  <si>
    <t>hubo parada, y las tropas desfilaron delante de la posada donde se hallaba el Rey. Por la noche el General Conde de Wartensleben dio un bayle magnífico, que los Reyes honráron con su presencia. Hoy han continuado SS. MM. su viage á Dresde, pasando por Weymar. Augsburgo i.° de Setiembre. Mucha gente de Viena</t>
  </si>
  <si>
    <t>Conrado Schindler</t>
  </si>
  <si>
    <t>l proceso. Dada en Zurich á 25 de Abril de i8o4.J/riw^.=Fr. Mutach, Juez mayor: Conrado Schindler, Secretario.” Las contribuciones impuestas á las 42 comunes (sublevadas ascienden á j49&gt;35°PeSÉ?ta^ ’•„ : Basilea go de Abril. El Land-Ammán ha remitido á todos los cantones una circular , ex</t>
  </si>
  <si>
    <t>Consta, Duque</t>
  </si>
  <si>
    <t>Duque Consta</t>
  </si>
  <si>
    <t>a, en que se confiere á la casa de Austria el título de Emperador hereditario. ' Dicen que él Grari Duque Consta atino'de Rusia haj llegado al campo de Praga , y que vendrá luego á esta capital. &gt; : ~ . Ntiremberg %&lt;&gt; de Setiembre* La cateada entre nuestra ciudad y la de Furth está ya conclu</t>
  </si>
  <si>
    <t>Constanti, Agustín</t>
  </si>
  <si>
    <t>Agustín Constanti</t>
  </si>
  <si>
    <t>abriel Hefrera. También ha conferido S. M. la Compañía de milicias regladas de blancos de Guayana á D. Agustín Constanti. Para el empleo de Ayudante del batallón de milicias disciplinadas de infantería de Puerto-Príncipe, se ha servido el Rey nombrar á D. Antonio Morales, Teniente con funciones de A</t>
  </si>
  <si>
    <t>Constantino Pawlewitch, Duque</t>
  </si>
  <si>
    <t>Duque Constantino Pawlewitch</t>
  </si>
  <si>
    <t>,. y baxo sus órdenes por los Generales de Suontelen y de Buxhoudens la segunda mandada por él Gran Duque Constantino Pawlewitch,y por el General Conde de Kutusoff. El Emperador está en ácimo de mandar , entre otras evoluciones, un desembarco, para el qual servirán las galeras que hay en el golfo, á 4 milla</t>
  </si>
  <si>
    <t>Constantino, Duque</t>
  </si>
  <si>
    <t>Duque Constantino</t>
  </si>
  <si>
    <t>para este efecto una suma de 1.200® rublos (al rededor de 19.200® rs. vn.). La biblioteca del Gran Duque Constantino se colocará en el palacio Miguel, y estará abierta para el público. £1 número de reclutas que acaba de prescribirse debe ascender á 65® hombres, cuya operación se repetirá cada 3</t>
  </si>
  <si>
    <t>* . .v . :;,i . .rusia.; ; ■ ;;;." . Pctersbargo 2,4 de Febrero. Se dice que el Emperador y el Gran Duque Constantino asistirán á la revista que el Rey de Prusia ha de pasar á sus tropas cerca de Varsovia á fines de Junio. Mr. de Araujo, Ministro de Portugal cerca de nuestra corte, ha partido par</t>
  </si>
  <si>
    <t>24 de la fortaleza de Cronenburgo, con destino á ser regaladas al Dey de Argel. Dícese que el G*an Duque Constantino emprenderá viage para la Polonia, y que visitará las fronteras. Ratisbona 26 de Abril. Antes de ayer , después de la gran ceremonia de prestar el juramento de fidelidad, hubo gran c</t>
  </si>
  <si>
    <t>ativos muy costosos* en Petershof. Dícese que asistirá á esta ceremonia S. A. S. la esposa del Gran Duque Constantino. Han acudido á esta capital en tanto número los comediantes y comediantas de Francia, que se ven precisados los mas á volverse á su tierra. PRUSIA. Berlín 26 de Junio. El General</t>
  </si>
  <si>
    <t>alió el Emperador para Oranienbaum. El regimiento de guardias de á caballo, de que S. A. I. el Gran Duque Constantino es el Coronel, marchó, el 27 de Junio, dei campamen-to que ocupaba en las inmediaciones de esta ciudad á Strelna , donde S. A. I. habita en el verano. Después que SS. MM. II. asisti</t>
  </si>
  <si>
    <t>nombre á los Rusos. RUSIA. Petersburgo de Julio. S. M. I. ha nombrado á su augusto hermano, el Gran Duque Constantino, Director del cuerpo de Cadetes de ingenieros, vacante por fallecimiento del Conde Valeriano Subow. También se dice que se pondrá á su cargo el cuerpo de Cadetes nobles.__ El Cond</t>
  </si>
  <si>
    <t>Cónsul Bátavo</t>
  </si>
  <si>
    <t>: Leonardo Straforello; Gerónimo Corradi, Cónsul de Dinamarca; Cárlos Rambaldi, Cónsul Bátavo; Josef Giribaldi; G. B.Warese ; Bernardo Dascose, Marino; Guillermo Garsaldi, Cónsul de Suecia, y F1 aminio Aucke.” FRANCIA. Maguncia ti de Setiembre. SS. MM.</t>
  </si>
  <si>
    <t>Cónsul Bonaparte</t>
  </si>
  <si>
    <t>as en que estaba trabajando. Vio entre ellas el modelo de la estatua del primer Cónsul Bonaparte, y el gran trozo de marmol rarísimo en que estaba bosquejado: vio también el trozo de mármol que se está trabajando para la estatua del Atleta Damasce'no; el b</t>
  </si>
  <si>
    <t>l, copiado del natural, uno de los que han conspirado contra la vida del primer Cónsul Bonaparte : debaxo del retrato se halla una viñeta, en la que se expresa con toda distinción la prisión de este sugeto, hecha en Paris en la plaza de Ocleon el día 9 de</t>
  </si>
  <si>
    <t>Cónsul Británico Mr</t>
  </si>
  <si>
    <t>samente las diferencias que existen entre ambas Potencias desde la retirada del Cónsul Británico Mr. Falcon. El Rey y la familia Real saliéron el 24 de Windsor para Weymouth. S. M. se detuvo en Hihñeld, casa de campo del General Sir William Pitt, y llegará el</t>
  </si>
  <si>
    <t>Cónsul Cambaceres</t>
  </si>
  <si>
    <t>stablecer las leyes. Se volviéron á adoptar ideas mas sanas, y en esta época el Cónsul Cambaceres publicó un proyecto de código civil bien' meditado. Los acaecimientos suspendiéron la discusión de este código, que deseaban todos los que pensaban bien; y el</t>
  </si>
  <si>
    <t>del /_£. El Monitor de este día trae lo que sigue. El Senado, presidido por el Cónsul Cambaceres, ha decretado ayer, con asistencia del Cónsul Lebrun, y presentes los Ministros, el senado-consulto orgánico, que confiere el título de E-iK’erador al primer C</t>
  </si>
  <si>
    <t>S. Ai I. el Príncipe Luis Bonaparte: para la de Archi-Canciller del Imperio al Cónsul Cambaceres; y para la de Archi-Tesorero al Cónsul Lebrun. Estos dos últimos han prestado su juramento en manos del Emperador----- El Archi-Canciller del Imperio presentó</t>
  </si>
  <si>
    <t>Cónsul Cambaceres y Presidente</t>
  </si>
  <si>
    <t>pués de esto fué el Senado admitido á la audiencia de S. MI la Emperatriz, y el Cónsul Cambaceres y Presidente la dixo: ,,Señora: acabamos de presentar á vuestro augusto esposo el decreto que le da el título de Emperador, y estableciendo en su familia el gobierno hereditar</t>
  </si>
  <si>
    <t>Cónsul Imperial y Real</t>
  </si>
  <si>
    <t>cer saber á los navegantes austríacos una copia de la carta que ha recibido del Cónsul Imperial y Real, residente en Cádiz, cuyo tenor es el siguiente: „Cddiz de Agosto de i8oj.__ Por la circular que he remitido á V. E., el 17 de Junio próximo pasado, he creído</t>
  </si>
  <si>
    <t>Cónsul Lebrun</t>
  </si>
  <si>
    <t>nado, presidido por el Cónsul Cambaceres, ha decretado ayer, con asistencia del Cónsul Lebrun, y presentes los Ministros, el senado-consulto orgánico, que confiere el título de E-iK’erador al primer Cónsul, y establece en su familia la herencia de Indig</t>
  </si>
  <si>
    <t>rchi-Canciller del Imperio al Cónsul Cambaceres; y para la de Archi-Tesorero al Cónsul Lebrun. Estos dos últimos han prestado su juramento en manos del Emperador----- El Archi-Canciller del Imperio presentó los Ministros y el Secretario de Estado al jur</t>
  </si>
  <si>
    <t>Cónsul Ruso</t>
  </si>
  <si>
    <t>ecto se escribió á Baswan-Oglow, preguntándole si recibiría en su residencia un Cónsul Ruso. Dicen que contestó qiSt lo admitiría; pero sin comprometerse á concederle seguridad, ni protección &amp;c. Es evidente que la Rusia, cercando de este modo las pro</t>
  </si>
  <si>
    <t>Cope, Henrique</t>
  </si>
  <si>
    <t>Henrique Cope</t>
  </si>
  <si>
    <t>y 3.0 de las Epidemias de Hipócrates, y Demostraciones medico-prácticas de sus pronósticos, por el Dr. Henrique Cope9 comparándolas con las historias de los enfermos descritos en ellas* y la descripción de la peste de Atenas, por Tucidides, Trasladado todo al español por el Dr. D» Joaquín Serran</t>
  </si>
  <si>
    <t>Copons, Manuel</t>
  </si>
  <si>
    <t>Manuel Copons</t>
  </si>
  <si>
    <t>9, en pergamino á 51, y en pasta á 57. Ramona y Roselio, ópera en dos actos, compuesta en verso por D. Manuel Copons, Teniente Coronel, y puesta en música por el maestro Christiani, y representada en el teatro de los Caños del Peral. Se hallará en 8.° á 2 rs., en la librería de la viuda é hijo d</t>
  </si>
  <si>
    <t>Coquelin, Luis</t>
  </si>
  <si>
    <t>Luis Coquelin</t>
  </si>
  <si>
    <t>anuel Mendoza y D. MigueFRuano: en el de Aragón á D. Pedro Gacet, y al de igual clase del de España D. Luis Coquelin: en el de América á Don Francisco Vizcaíno: en el de la Princesa á D. Ramón Corrales: en el de Extremadura á-D. Blas San Millan, D. Fernando Rugidos y á D. Rodrigo Flores Picón: e</t>
  </si>
  <si>
    <t>Cora, Pedro</t>
  </si>
  <si>
    <t>Pedro Cora</t>
  </si>
  <si>
    <t>uís Bravo, á D. Josef Estébari; y para un Beneficio de la catedral de Gerona, vacante por muerte de D. Pedro Cora, á D. Felipe Ordis. El Rey se ha servido conceder en el regimiento de infantería de la Rey.na Compañía al Teniente de granaderos, graduado de Capitán, Don Miguel Garrido : en el d</t>
  </si>
  <si>
    <t>Cordero y Diego Ponce, Manuel</t>
  </si>
  <si>
    <t>Manuel Cordero y Diego Ponce</t>
  </si>
  <si>
    <t>ha servido conceder Tenencias en los Regimientos de infantería de León ^Navarra á los Subtenientes D. Manuel Cordero y Don Diego Ponce ; y Subtenencias en los de Valencia y Málaga á los Sargentos primeros D. Carlos Pons y D. Antonio Medina, y á ios Cadetes Don Francisco María Saez, D, Antonio Valero y D. Josef Ma</t>
  </si>
  <si>
    <t>Cordero, Antonio</t>
  </si>
  <si>
    <t>Antonio Cordero</t>
  </si>
  <si>
    <t>a clase le obtuvieron D. Tomas Araujo y D. Francisco Cantala.piedra : y el de tercera se concedió á D. Antonio Cordero j D. Josef Hervas, D. Josef del Campo,. Don Manuel Ibañez, D-. Francisco Apliegas , D. Tomas Pereda, D. Santiago Mela, D. Manuel Pozo Cáceles y D. Gerónimo Mauricio Buey. El prime</t>
  </si>
  <si>
    <t>Cornel, Antonio</t>
  </si>
  <si>
    <t>Antonio Cornel</t>
  </si>
  <si>
    <t>fecha de 12 de este mes me dice lo siguiente : = De orden del Rey dixo á V. E. mi antecesor el Sr. D. Antonio Cornel , con fecha de i.° de Noviembre de i8co, lo que sigue : = Compadecido el Rey de la situación á que quedarán reducidas las viudas de los sargentos, cabos, soldados y tambores que h</t>
  </si>
  <si>
    <t>Cornelio Blanco</t>
  </si>
  <si>
    <t>acas al Teniente del propio Cuerpo D. Juan Félix Palacios ; su resulta ai Subteniente de granaderos D. Cornelio Blanco; y esta Subtenencia ai de fuuleros D. Josef Antonio Anzola. En algunos ¿xemplares de la Gazeta anterior, núm. 88, pág. 977, lín. 42, dice Ingenieras del pasado, léase del exército</t>
  </si>
  <si>
    <t>Cornwaliis, Almirante</t>
  </si>
  <si>
    <t>Almirante Cornwaliis</t>
  </si>
  <si>
    <t>mouth el navio almirante la Ciudad de Paris, de 310 cañones, que se retira del bloqueo de Brest. El Almirante Cornwaliis ha desembarcado en Limington, su residencia ordinaria. Aun no se sabe sí ha hecho dimisión de su mando, ó si ha venido para reparar su navio de los daños que ha sufrido en el mas</t>
  </si>
  <si>
    <t>Cornwallis, Almirante</t>
  </si>
  <si>
    <t>Almirante Cornwallis</t>
  </si>
  <si>
    <t>s. ' v Por el navio Minotauro, que acaba de llegar áPlirnouth, y se separó el 15 de la esquadra del Almirante Cornwallis, sabemos que á pesar del furioso huracán que padecieron aquellais fuerzas de dia 9 del corriente, continuaba el bloqueo de Brest con el mayor vigor , sin que nuestros buques hubie</t>
  </si>
  <si>
    <t>otros buques menores, lanchas cañoneras y transportes que se hallan en el puerto exterior. Como el Almirante Cornwallis ha resistido ya muchos temporales, es probable que haya igualmente resistido á los huracanes del 24 y 25___ Es muy útil el bloquear el principal puerto enemigo en el momento en qu</t>
  </si>
  <si>
    <t>ÑA. Londres it de Enero. Las cartas de Brixham-Quay, del yi de Diciembre, anuncian la llega* da del Almirante Cornwallis á Torbayel 24. También entráron los navios S. Josef y el Dreadnonght, los que han sufrido considerablemente. El temporal del día 24 obligó al Almirante á separarse del bloqueo de</t>
  </si>
  <si>
    <t>era expedición que se intentase desde Boloña. . No hay razón para creer que durante la ausencia del Almirante Cornwallis, los franceses hayan pensado en salir de Brest. Si en efecto hubiesen hecho algún movimiento, se hubiera sabido, sobre todo quando algunas divisiones de la esquadra dei canal se h</t>
  </si>
  <si>
    <t>s cañoneras y baterías flotantes á la boca del Shannon, y en las bahías de Bantry y de G¿lloway. El Almirante Cornwallis ha recobrado su estación delante de Brest: con !a Ciudad de París de no cañones, el S. Josef también de no, y ol Dreadnought de 98. Se le han reunido los navios que dispersó el te</t>
  </si>
  <si>
    <t>Este es el proyecto; pero no nos atrevemos á responder de su probabilidad. La* fuerzas que manda el Almirante Cornwallis, inclusa la división que está delante del Ferrol, se componen de 35 navios de línea y 11 fragatas. Escriben de Nueva Providencia en las islas Bahamas, el 23 de Enero, que lia cesa</t>
  </si>
  <si>
    <t>el puerto , adonde tuvo que retirarse por haberla dado caza nuestra esquadra dos dias seguidos. JSí Almirante Cornwallis ha sido reforzado con dos navios de línea de Plymouth. Se ha tenido noticia de que la esquadra de Brest hacia algunos movimientos que indicaban se disponía á salir del puerto. Una</t>
  </si>
  <si>
    <t>ían ya construido 250 buques, quando se abandone) esta expedición por la de Egipto. La esquadra del Almirante Cornwallis, que se halla delante de Brest, está dispuesta en esta forma. En la vanguardia un navio de 112 , montado por el Vice-Almirante Coton , dos de 98, quatro de fco, y quatro de 74. En</t>
  </si>
  <si>
    <t>rniente á las indemnizaciones. GRAN BRETAÑA. Londres go de Julio. Dícese que Lord Keith sucederá al Almirante Cornwallis en el mando de la esquadra del Canal, y que Lord Duncan mandará en las Dunas. Estos dias pasados ha reinado en Dublin la mayor inquietud, ocasionada por el temor de una nueva insurr</t>
  </si>
  <si>
    <t>tl próximo mes. SS. MM. residirán en el castillo, y no en la casa de la Rey na como hasta ahora. El Almirante Cornwallis ha salido ya de Torbay, donde había entrado con la mayor parte de sus navios el lunes último. Nuestra esquadra cruzará delante de Brest, y no se suspenderá el bloqueo, mientras lo</t>
  </si>
  <si>
    <t>Corrales y Luque, Antonio</t>
  </si>
  <si>
    <t>Antonio Corrales y Luque</t>
  </si>
  <si>
    <t>e ha servido nombrar para el Arcedianato titular de la catedral de Guadix, vacante por promoción de D. Antonio Corrales y Luque á la Canongía Doctoral de Málaga, á D. Vicente Ramos y García: para la plaza de Cantador de la Real capilla, titulada de la Concepción, de la catedral de Ostna , vacante por falle</t>
  </si>
  <si>
    <t>Corrales y Ordas, Pedro Pablo</t>
  </si>
  <si>
    <t>Pedro Pablo Corrales y Ordas</t>
  </si>
  <si>
    <t>ilar y Osorio, á D. Francisco Manso, Racionero de la propia Igle'ia: para la Ración que este dexa á Don Pedro Pablo Corrales y Ordas, Cura de S. Andrés de aquella ciudad: para otra Canoiigía de la Colegial de Antequera, Diócesi de Málaga, vacante por muerte deD. Toma? Garrido, á D. Francisco Gaivez, Guardia de</t>
  </si>
  <si>
    <t>Corrales, Ramón</t>
  </si>
  <si>
    <t>Ramón Corrales</t>
  </si>
  <si>
    <t>e del de España D. Luis Coquelin: en el de América á Don Francisco Vizcaíno: en el de la Princesa á D. Ramón Corrales: en el de Extremadura á-D. Blas San Millan, D. Fernando Rugidos y á D. Rodrigo Flores Picón: en ei de Málaga á D. Manuel Moreno, D. Pascual Ai varez Campana y D. Rafael España y C</t>
  </si>
  <si>
    <t>Correa, Miguel</t>
  </si>
  <si>
    <t>Miguel Correa</t>
  </si>
  <si>
    <t>nferir la Sargentía mayor de Milicias disciplinadas de la Provincia de Cumaná, de nueva creación, á Don Miguel Correa, Capitán agregado al Estado mayor de la plaza del Puerto de Sta. María: Compañía en el batallón de Milicias disciplinadas de B! ancos de Caracas al Teniente del propio Cuerpo D. J</t>
  </si>
  <si>
    <t>Correas, Manuel</t>
  </si>
  <si>
    <t>Manuel Correas</t>
  </si>
  <si>
    <t>io y España á D. Carlos Rodríguez y D. Josef Paez; y á Alférez en el de Santiago al portaestandarte D. Manuel Correas. En los de caballería ligera igualmente, se ha servido S. M. conferir Compañía en eld¡e Cazadores ;de;Pavía al Ayudante, con grado de Capitán, D. Josef Luis de Ázlor : empleo de T</t>
  </si>
  <si>
    <t>Corregidor de Londres, Lord</t>
  </si>
  <si>
    <t>Lord Corregidor de Londres</t>
  </si>
  <si>
    <t>si los Ministros , sabedores de los designios de los rebeldes, no lo hubieran puesto en noticia del Lord Corregidor de Londres, y en la de todos aquellos que tienen los medios de asegurar la tranquilidad.pública? ¿Qué hubieran, pensado si al abrirse la sesión siguiente no les hubieran los Ministros manife</t>
  </si>
  <si>
    <t>Corregidor, Lord</t>
  </si>
  <si>
    <t>Lord Corregidor</t>
  </si>
  <si>
    <t>ombinadas del General Grinfield v del Conmodoro Hood. El Lóifd Hobart ha participado este suceso al Lord Corregidor: y con este motivo hiciéron salva lo$ cañones del Parque y de la Torre._ Es.ta conquista no ha, costado ni un cañonazo. Créese que la capitulación es igual á la anteriormente hech</t>
  </si>
  <si>
    <t>Ayer el Duque de York, acompañado de varios Generales, de Mr. Pitt, del Lord Corregidor, y de otras varias personas de distinción , examinó en la parada un nuevo carruage para transportar con prontitud las tropas. En uno de estos carruages iban 13 soldados y un sarge</t>
  </si>
  <si>
    <t>. El 10 se tuvo una junta de comerciantes y otros vecinos de la ciudad de Londres, en la posada del Lord Corregidor, con el objeto de deliberar acerca de los medios mas eficaces de suministrar voluntariamente al gobierno los caballos, carruagesy carruageros necesarios para conducir las tropas y</t>
  </si>
  <si>
    <t>de i.° de Agosto, á bordo de la Victoria. Después de dar gracias, dice: ,,Debo inrormar.á V* S. (al Lord Corregidor) que nunca he bloqueado el puerto de Tolon, mas bien al contrario he procurado al enemigo todas las ocasiones de salir al mar, pues allí era donde confiábamos Renar las esperanzas</t>
  </si>
  <si>
    <t>Corrochano, Tomás</t>
  </si>
  <si>
    <t>Tomás Corrochano</t>
  </si>
  <si>
    <t>rrama, D. Josef Power.y D. Josef Viñals: i. Capitanes segundos ,á los Tenientes D. Francisco Cl.os, D. Tomas Corrochano, D,. Rafael Villar,, graduado de Capitán, D. Bartolomé Lison, de granaderos, D. Joaquín Goyena, idem, D. Josef AHllasante, idem, D. Mariano Caro y D. Pedro Osorio: á Tenientes de</t>
  </si>
  <si>
    <t>Cortada, Juan</t>
  </si>
  <si>
    <t>Juan Cortada</t>
  </si>
  <si>
    <t>brar para la dignidad de Arcipreste de la colegial de S. Juan de las Abadesas, diócesis de Vique, á D. Juan Cortada: para una Canongía titulada de la Escribanía de la colegial de Pons, diócesis de Urgel, á D. Bartolomé Gisper : para el Beneficio , baxo la invocación de S. Antonio Abad, unido co</t>
  </si>
  <si>
    <t>Cortés Moreno, Antonio</t>
  </si>
  <si>
    <t>Antonio Cortés Moreno</t>
  </si>
  <si>
    <t>estros del colegio académico de esta corte, nombrados por dicho cuerpo, cuya elección ha recaído en D. Antonio Cortés Moreno y D. Diego Narciso Herranz , y confirió la secretaría al que sirviese la de la junta general de Caridad, que hoy se halla á cargo de D. Vicente Lorenzo Verdugo, Caballero de la Real y</t>
  </si>
  <si>
    <t>Cortiñas, Esteban</t>
  </si>
  <si>
    <t>Esteban Cortiñas</t>
  </si>
  <si>
    <t>omo también á Capitán segundo de las compañías lixas de Artillería de la plaza de Ceuta al Teniente D. Esteban Cortiñas, y á Teniente al Subteniente de las mismas D. Luis Salgado. Habiendo igualmente nombrado el Rey Teniente de la Compañía de Artilleros inválidos de Pamplona aí Subteniente de la de</t>
  </si>
  <si>
    <t>Corvisart</t>
  </si>
  <si>
    <t>er Chambelam.; Mr. Salmatoris y Craniayel, Introductores de Embaxador.es y Maestros de ceremonias;; Mr. Corvisart, primer Medico ; el Consejero de Estado Portalis, MinistJFp. de los .cultos.; el 'Senador Eour: «ché , Ministro de la Policía general. -; ■ ■' ESPAÑA. ' • ; !Í,....VMadrid de Juli</t>
  </si>
  <si>
    <t>Cosme Churruca</t>
  </si>
  <si>
    <t>Supl., p. 5</t>
  </si>
  <si>
    <t>.................. 30. 25. Idem de las islas Antillas con parte de la costa firme hasta Cumaná, por D. Cosme Churruca, Brigadier de la R eal Armada, y D. Joaquin Francisco Hidalgo, Capitán de Navio de ella....... ............................... 12. 10. Idem de las islas Caribes de Sotavento , por</t>
  </si>
  <si>
    <t>Supl., p. 6</t>
  </si>
  <si>
    <t>26, planos: Plano geométrico dél' puerto capital de la isla; de Puerto Rico ,levantado en 1794, por D. Cosme Churruca , Brigadier de Marina.. 6.. 5* Plano del puerto y ciudad de la Havana,levantado por D. Josef del Rio, Capitán de Fragata de la Real Armada año de 1798: 6í. y. Plano del puerto-de</t>
  </si>
  <si>
    <t>Cosme de Mier y Trespalacios</t>
  </si>
  <si>
    <t>ente de la Real Audiencia de México, vacante por fallecimiento de D. Baltasar Ladrón de Guevara , á D. Cosme de Mier y Trespalacios, Oidor Decano de la misma Audiencia. Desde i.° del próximo Diciembre se recibirán en la Tesorería mayor y en las de Exército las acciones del Real empréstito de 240 millones de re</t>
  </si>
  <si>
    <t>Cosme Fernando de Medina</t>
  </si>
  <si>
    <t>Beneficio simple servidero de la Parroquia de Linares, en la Diócesi de Jaén, vacante por muerte de D. Cosme Fernando de Medina , á D. Gumersindo Fernandez de Moratins para una Ración de la Colegial de Daroca , Diócesi de Zaragoza, vacante por promoción de D. Mateo Bonal á Canongía de la misma Iglesia, á D</t>
  </si>
  <si>
    <t>Cosme Velazquez</t>
  </si>
  <si>
    <t>el cetro y en actitud heroyca. Se hizo en Cádiz^ y es una de las obras que mas honran el cincel de D. Cosme Velazquez. Se ha colocado en el centro de una,plaza bastante adornada y hermosa, que está á la entrada del paseo principal extramuros de la ciudad , sobre un pedestal quadrado de la mejor p</t>
  </si>
  <si>
    <t>Costa, Pedro</t>
  </si>
  <si>
    <t>Pedro Costa</t>
  </si>
  <si>
    <t>üig, á D. Mariano Mascorü; y para otro de la misma catedral de Gerona, vacante por fallecimiento de D. Pedro Costa , á D. Felipe Ordis. En los regimientos Provinciales ha nombrado el Rey Sargento mayor del de Ciudad-Rodrigo al Capitán D. Gabriel de la Rocha: Tenientes de granaderos del mismo,</t>
  </si>
  <si>
    <t>l de América, graduado de Teniente Coronel, D. Ramón Pirez; y Tenencia al Subteniente de granaderos D. Pedro Costa: en -el de Irlanda Compañías á los Ayudantes, graduados de Capitán, Don Gonzalo de Aramendi y D. Juan Bautista Moriarti: Tenencias á los Sub</t>
  </si>
  <si>
    <t>Cota, Ramón</t>
  </si>
  <si>
    <t>Ramón Cota</t>
  </si>
  <si>
    <t>uan Tena, D. Simón de Mareos y D. Vicente GH; y en los de la Reyna, Valencia y Murcia á los Cadetes D. Ramón Cota, D. Francisco Menor López, D. Ramón Llola&amp;bregat y D- Joaquín de Eguia, este último del de Voluntarios de Estado. En el segundo batallón de Voluntarios de Aragón se ha servido S.M</t>
  </si>
  <si>
    <t>Coton, Almirante</t>
  </si>
  <si>
    <t>Almirante Coton</t>
  </si>
  <si>
    <t>ante de Brest, está dispuesta en esta forma. En la vanguardia un navio de 112 , montado por el Vice-Almirante Coton , dos de 98, quatro de fco, y quatro de 74. En el centro la ciudad de París de no, mandada por el Almirante Cornwallis; otro de 100, tres dé 98, y ocho de 74. En la retaguardia qu</t>
  </si>
  <si>
    <t>Coude de Colloredo</t>
  </si>
  <si>
    <t>or ha confiado, durante su ausencia , la dirección de los negocios de estado al Coude de Colloredo, Ministro de Gabinete. í-os</t>
  </si>
  <si>
    <t>Cracraft, Capitán</t>
  </si>
  <si>
    <t>Capitán Cracraft</t>
  </si>
  <si>
    <t>muy léjos de allí. En el canal de Mesina y en la costa de Sicilia hay 5 fragatas á las órdenes del Capitán Cracraft, para impedir que los Franceses se apoderen de aquella isla. Se han recibido órdenes en Plimouth de aprontar todas las fragatas que se hallan allí. Los Oficiales que han llegado e</t>
  </si>
  <si>
    <t>Crauford, Coronel</t>
  </si>
  <si>
    <t>Coronel Crauford</t>
  </si>
  <si>
    <t>isma Cámara del 22 de Marzo Mr. Yorke propone la segunda lectura del bilí sobre los voluntarios. El Coronel Crauford dice que la Cámara debe estar cansada de oir unas objeciones tantas veces repetidas sobre un asunto tan debatido.__ Mr. Windham observa que el objeto de la discusión no es de sabe</t>
  </si>
  <si>
    <t>Crawford, Coronel</t>
  </si>
  <si>
    <t>Coronel Crawford</t>
  </si>
  <si>
    <t>en 1801 se hizo sin ese requisito, y manifestando que así lo exigen ahora las circunstancias. _ El Coronel Crawford cree no puede adoptarse el bilí sin las prévias informaciones. ,,Quanto ahora (prosigue) se ha dicho á la Cámara, se reduce á esto: la rebelión se ha extinguido, y se espera que n</t>
  </si>
  <si>
    <t>o por donde quiera que ha encaminado sus pasos , y que ya no intentará semejante expedición.”—...El Coronel Crawford replica, que su censura sobre el descuido del gobierno se funda en no haber tenido los soldados mas que tres cartuchos el 23 de Julio. _ Mr. Poole piensa que debe corregirse el er</t>
  </si>
  <si>
    <t>Creevey</t>
  </si>
  <si>
    <t>halla en estado de hacerlo. PARLAMENTO IMPERIAL. En la junta de la Cámara de los’Comunes del dia 14 Mr. Creevey hizo la propuesta que anunció hace dias , sobre que se presentasen a"la Cámara diferentes papeles relativos á la guerra que actualmente hacemos en Ceylan.__ Empezó su discurso, ex</t>
  </si>
  <si>
    <t>jeta á la corona, solo pueden presentarse en virtud de orden de S. M.__ Esta propuesta es adoptada. Mr. Creevey se levanta, y hace su segunda propuesta; pero Lord Castlereagh propuso la qiiestion anterior, lo que dio motivo á algunos debates sobre si era política se presentasen los document</t>
  </si>
  <si>
    <t>Crescini, Luis</t>
  </si>
  <si>
    <t>Luis Crescini</t>
  </si>
  <si>
    <t>Luisa,, quinto de húsares, sé ha servido promover S.M. á Capitán al ¿Ayudante, graduado de Capitán, D. Luis Crescini; y ha nombrado Teniente del propio cuerpo al Teniente agregado al de Voluntarlos de España, quarto de húsares, D. Laureano de las Fuentes. Por el Ministerio de Hacienda de Indias</t>
  </si>
  <si>
    <t>Crespo Cantolla, Andrés</t>
  </si>
  <si>
    <t>Andrés Crespo Cantolla</t>
  </si>
  <si>
    <t>ó el primer Censor, D. Luis Llanos, con el elogio del Soberano, y leyó después el primer Secretario D. Andrés Crespo Cantolla el extracto de las actas de la Sociedad desde la última junta pública. Pasóse de seguida á la distribución denlos premios por mano del segundo Director, y del Intendente- de esta ci</t>
  </si>
  <si>
    <t>trabajo, como origen de todas las riquezas. En la cátedra de economía civil, dirigida por el socio D. Andrés Crespo Cantolla, se decretó una certificación de honor á D. Antonio de la Peña y D. Miguel de Victorica , declarándolos acreedores al primer premio, el que no se les dio ahera, porque ya le obtuv</t>
  </si>
  <si>
    <t>Crespo, Andrés</t>
  </si>
  <si>
    <t>Andrés Crespo</t>
  </si>
  <si>
    <t>7^3 tonio Cano, y leyó después el extracto de las actas el Secretario Don Andrés Crespo , manifestando al fin de él la adjudicación de los premios en la forma siguiente. El premio de ^ onzas de oro ofrecido á quien escribiese ia mejor memoria sobre el modo de abastec</t>
  </si>
  <si>
    <t>Crespo, Bernardo</t>
  </si>
  <si>
    <t>Bernardo Crespo</t>
  </si>
  <si>
    <t>ha promovido el Rey á'Capitanes 4* Granaderos de los de Laredo, Segovia y Cuenca á los de fusileros Don Bernardo Crespo , D. Jacinto García y D. Francisco Verdejo : a Capitanes de fulleros de los de Bujalance y Ciuuad-Rcal a los Tenientes Don Pedro Melgar, D. Dionisio Antelo y D. Luis Morales: a Te</t>
  </si>
  <si>
    <t>Crispólo Manzano</t>
  </si>
  <si>
    <t>........... 141..25 Crispólo Manzano............... Mascaraque..................... 14!, •25 2.* l)B OkANAl'EB' S. Cayetano P o ra.................... Solana.............................. *</t>
  </si>
  <si>
    <t>Cristiano de Augustemburgo, Príncipe</t>
  </si>
  <si>
    <t>Príncipe Cristiano de Augustemburgo</t>
  </si>
  <si>
    <t>arte experimentamos aquí un frió de 17 grados. , DINAMARCA. Copenhague 24 de Febrero* : S. A. S. e} Príncipe Cristiano de Augustemburgo ha venido á esta capital desde Fredericia, donde está su»regimicnto de guarnición. Se toman aquí las precauciones mas severas contra la epizootia que se ha manifestado en Iqs, gan</t>
  </si>
  <si>
    <t>Cristiano de Dinamarca, Príncipe</t>
  </si>
  <si>
    <t>Príncipe Cristiano de Dinamarca</t>
  </si>
  <si>
    <t>del cobalto, prohibida 60 años hace. PRUSIA. Berlín 2 8 de Agosto. , Se aguarda aquí estos dias al Príncipe Cristiano de Dinamarca, quien residirá en Postdam d en Berlín hasta las revistas de otoño. El 22 de este mes llegó la Reyna á Breslau, donde fue recibida con mucha magnificencia. Ai dia siguiente entró</t>
  </si>
  <si>
    <t>a en una audiencia privada. El Duque de Saxonia Weymar salió ayer de Postdam para su residencia. El Príncipe Cristiano de Dinamarca volverá esta tarde de Postdam á Berlín, donde se procurará hacer su estancia la mas agradable que pueda ser. ALEMANIA. Uamburgo 28 de Setiembre. El 13 del corriente llegaron á Rig</t>
  </si>
  <si>
    <t>GAZETA DE MADRID DEL MARTES 20 DE NOVIEMBRE DE 1804, ALEMANIA. Uamburgo 1 § de Octubre. S. A. R. el Príncipe Cristiano de Dinamarca salió el 11 de Ludwigshut para restituirse á Copenhague. La esquadra Rusa, á las órdenes del Almirante Lokman, se hizo á la vela para^Revel el dia 6 del corriente. El Barón de Arm</t>
  </si>
  <si>
    <t>Cristiano Frederich, Príncipe</t>
  </si>
  <si>
    <t>Príncipe Cristiano Frederich</t>
  </si>
  <si>
    <t>resultar de lo contrario equivocaciones desagradables. Apenas se boto al agua el navio de línea el Príncipe Cristiano Frederich, quando se ha empezado á construir otro en el nuevo astillero, donde se construyen tres ai mismo tiempo. Se ha preso en el castillo de Kronenburgo á algunos pilotos del lugar de H</t>
  </si>
  <si>
    <t>Cristiano Herrgen</t>
  </si>
  <si>
    <t>scrita en afémap por Widenmann: dos tomos en 8.a mayor, i 59 rs. en pasta. Esta obra, traducida por D. Cristiano Herrgen, comprehende el sistema mas moderno y completo de la Mineralogía. Nuevas indagaciones acerca de las'fracturas de la rótula y de las enfermedades relativas á ella, por D. Leonardo</t>
  </si>
  <si>
    <t>s 4 de Diciembre próximo, á las n de la mañana, en el Laboratorio de Química de la calle del Turco. D. Cristiano Herrgen, Catedrático del Real estudio de Mineralogía, establecido en esta Corte, empezará sus lecciones públjcas de Orictognosia y Gecgnosia en i.° de Diciembre próximo, de 10 á 11 de la</t>
  </si>
  <si>
    <t>Cristiano, Príncipe</t>
  </si>
  <si>
    <t>Príncipe Cristiano</t>
  </si>
  <si>
    <t>e esperaba para el 10 del corriente al Principe heredero de Dinamarca y á sus dos hijas. Su hijo el Príncipe Cristiano saldrá hoy de Ludwigslur para asistir á las revistas en Postdam. En Alburgo ha caido, durante el mes de Agosto, mucha cantidad de nieve, y después ha helado muchos dias. Francfort</t>
  </si>
  <si>
    <t>Cristino Real, Lorenzo</t>
  </si>
  <si>
    <t>Lorenzo Cristino Real</t>
  </si>
  <si>
    <t>io, con la competente justificación. En la ciudad de Buenos-Ayres, en 25 de Enero de 1799, falleció D. Lorenzo Cristino Real, y mandó que á su hermano D. Matías Real se le diesen de su quinto i© pesos en plata sellada: el dicho. D. Matías puede ocurrir ai albacea, que es D. Francisco Josef Diaz Velez, v</t>
  </si>
  <si>
    <t>Cristóbal</t>
  </si>
  <si>
    <t>caela Petronila de Otero, y no tuvo sucesión; y últimamente declaró por sus universales herederos á D. Cristóbal, D. Eugenio, D. Juan, Doña Rosa María y Doña Francisca Eustaquia Suarez, sus hermanos. Librado el correspondiente Real despacho á ii Justicia del Puerto de Sta. María, de donde fu</t>
  </si>
  <si>
    <t>Cristóbal de Cos y Viveroque</t>
  </si>
  <si>
    <t>los sugetos que tuvieren noticia de dichos particulares- y Jos demás que se necesiten, en Madrid á D. Cristóbal de Cos y Viveroque vive plazuela de la Encarnación, y en el expresado valle á Manuel Antonio Rubín de Cclis, vecino de Sopeña; los quales se hallan encargados de recoger los memoriales, y remitirlos</t>
  </si>
  <si>
    <t>Cristóbal de Vicuña</t>
  </si>
  <si>
    <t>todo ó parte de las referidas posesiones acuda á la escribanía propietaria del número de Aladrid de Don Cristóbal de Vicuña, donde se le admitirá las posturas que hiciere siendo arregladas , y se le manifestará las cargas que sobré sí tienen.</t>
  </si>
  <si>
    <t>l Vicente Torres, del Consejo de S. M. , primer Teniente de Corregidor, y escribanía del número djj D. Cristóbal de Vicuña, el que se halla tasado en 18$) rs., acuda ante dicho Señor y escribanía dentro del término de go días , fcoñtadrvs desde el dia 27 de Enero. Qualesquiera personas qúe por sucesió</t>
  </si>
  <si>
    <t>M., Teniente Corregidor de esta vi la, acudaante dicho Señor, y escribanía propietaria de número de D. Cristóbal de Vicuña, dentro de 20 días, contados desde 7 del presente, y está señalado su remate el 29. La P eal Dirección de Abastos acordo en una de sus Sesiones que desde i. de Julio último se pag</t>
  </si>
  <si>
    <t>Cristóbal del Solar de Celis</t>
  </si>
  <si>
    <t>illo, Segovia y Guadix á los Tenientes D. Jacobo Blanco, D. Pedro María Ayora, D. Claudio Martínez, D. Cristóbal del Solar de Celis, D. Luis Pecoso, D. Fernando Mateos, y al Capitán reformado D. Vicente Gómez del Mercado: á Tenientes en los de Sevilla y Xerez á los Subtenientes D. Josef María Martínez y D. Mar</t>
  </si>
  <si>
    <t>Cristóbal Esteve</t>
  </si>
  <si>
    <t>El Rey se ha servido promover á Teniente en el regimiento de infantería de Zaragoza al Subteniente D. Cristóbal Esteve: á Subteniente de bandera en el batallón de Voluntarios de Gerona á D. José f García Benito z , Cadete de la compañía de caballería de la plaza de Ceuta •? y á Subteniente de gran</t>
  </si>
  <si>
    <t>Cristóbal Hernández</t>
  </si>
  <si>
    <t>iente, graduado de. Capitán, D. Josef de Ortega; y á Subtenientes al Sargento primero de granaderos D. Cristóbal Hernández y al Cadete D. Josef María Mercado:, en el de Mallorca á Subtenientes de bandera al Sargento primero D. Julián Ibarra, y á les Cadetes D. Josef San Miguel y Mateos y D. Miguel de Ar</t>
  </si>
  <si>
    <t>Cristóbal Iranzor</t>
  </si>
  <si>
    <t>AÍco— niá , en la propia diócesis de Zaragoza, vacante por muerte de D. Raymundo Manuel de Hiera, á D. Cristóbal Iranzor para otro de la parroquia de Luna, de la misma diócesis, por fallecimiento de D. Rudesindo Domínguez, á D. Baltasar Jal: para otro de la catedral de Gerona, vacante por muerte de</t>
  </si>
  <si>
    <t>Cristóbal Mariano, Coronel</t>
  </si>
  <si>
    <t>Coronel Cristóbal Mariano</t>
  </si>
  <si>
    <t>; M. la Sargentía mayor del regimiento de caballería de María Luisa, quinto dé húsares, al Teniente Coronel Don Cristóbal Mariano, Capitán del mísmo cuerpo. En atención á las circunstancias y calidad de D. Mariano Felez , vecino del lugar de Ateca, reyno de Aragón , y á los servicios hechos á S. M. y al publ</t>
  </si>
  <si>
    <t>Cristóbal Montelius</t>
  </si>
  <si>
    <t>141-25 Cristóbal Montelius...... . Serradiois........................... 14 3.* del i.° Antonio Ramírez................. Ocafla..................................</t>
  </si>
  <si>
    <t>Cristóbal Montes de Oca</t>
  </si>
  <si>
    <t>servido nombrar para la plaza de Oidor de la Chancillería de Granada, vacante por fallecimiento de D. Cristóbal Montes de Oca, á D. Ramón de Urbina, Ministro del crimen de la Audiencia del Principado de Cataluña: para el Corregimiento de Letras de las Merin— dades de Castilla la Vieja, su capital Villarc</t>
  </si>
  <si>
    <t>Cristóbal Muñoz</t>
  </si>
  <si>
    <t>D. Manuel Mozota y D. Joaquín Soraviíia ; á Cadetes de numero á los supernumerarios D. JóséfPretel, D. Cristóbal Muñoz y D. Josef Alcayde, y á supernu■mérarió al‘Guardia D. Francisco Leria. Los tenedores de vales-dinero de la Tesorería de Consolidación , de la renovación de i.° de Enero, que hasta aho</t>
  </si>
  <si>
    <t>Cristóbal Paez</t>
  </si>
  <si>
    <t>8.a DHL i.° Cristóbal Paez...................... Benameji.......................... •4‘ ■?é Pedro Miramoh , Sargento Pedro López...... ................. Carpió.............................. 141 ■•*5</t>
  </si>
  <si>
    <t>Cristóbal Roldan</t>
  </si>
  <si>
    <t>de línea se ha servido S. M. conferir Compañía en el de la Reyna al Ayudante, graduado de Capitán, Don Cristóbal Roldan: Tenencia en el de España á D. Tomas Amaya ; y empleo de Alférez en el del Rey al Portaestandarte D. Manuel Alcázar. En los de caballería iigera se ha servido igualmente S. M. pro</t>
  </si>
  <si>
    <t>Cristóbal Sotolongo</t>
  </si>
  <si>
    <t>ca. El Rey se ha servido promover á Subteniente de bandera del regimiento de infantería de Puebla á D. Cristóbal Sotolongo, Cadete del mismo cuerpo. Habiéndose servido S. M. resolver que en cada uno de los tres presidios menores de Melilla, Peñón y Alhucemas, se establezcan dos Cirujanos con la dotaci</t>
  </si>
  <si>
    <t>Cristóbal Suárez y Leonor González</t>
  </si>
  <si>
    <t>to que otorgó en 30 de Diciembre de 1769, declarando era natural de estos reynos,. hijo legítimo de D. Cristóbal Suarez y Doña Leonor González, ya difuntos; que estaba casado con Doña Micaela Petronila de Otero, y no tuvo sucesión; y últimamente declaró por sus universales herederos á D. Cristóbal, D. Eugenio, D. Juan, D</t>
  </si>
  <si>
    <t>Cristóbal Villalobos</t>
  </si>
  <si>
    <t>ado y D. Isidro Alvarez de Lara ; y á Subteniente de granaderos dei de Buja lance al de fusileros á D. Cristóbal Villalobos.</t>
  </si>
  <si>
    <t>D. Antonio Bueno de Cevailos : Teniente de fusileros del de Bujalance al Subteniente de granaderos D. Cristóbal Villalobos: Subtenientes de granaderos de los de Sigiienza y Bétanzos á los de fusileros D. Alexo Marcos de las Muelas y D. Ramón Caruncho; y Subtenientes de bandera de los de Segóvia, Cuenc</t>
  </si>
  <si>
    <t>Croquer, Vicente</t>
  </si>
  <si>
    <t>Vicente Croquer</t>
  </si>
  <si>
    <t>................... 14 Manuel Miguel..................... Yébenes.............................. I¿¡ D. Vicente Croquer, SubteManuel Aragón................... Mascaraque........................ 14 niente................................ Córdoba................... 484- 4 Francisco Antonaya...........</t>
  </si>
  <si>
    <t>Cruz González, Santiago</t>
  </si>
  <si>
    <t>Santiago Cruz González</t>
  </si>
  <si>
    <t>dral de Calahorra, vacante por promoción de D Vicente Antonio Ortega á Ración entera de la misma, á D. Santiago Cruz González, Cura de la parroquial de Sta. Ana de la villa de Cervera, en aquel obispado- . , , . El Rey se ha servido promover en el regimiento de infantería de Asturias á Teniente al Subten</t>
  </si>
  <si>
    <t>Cuadrado, Francisco</t>
  </si>
  <si>
    <t>Francisco Cuadrado</t>
  </si>
  <si>
    <t>: Torio,. Compendio, Ortagrafía castellana ; Mendoza , Guerras de Granada..^. Primeras letras. i.°: D. Francisco Cuadrado: Torio, Arte grande de escribir. 2.0: D. Fernando Cañavate: Torio , Compendio Ortografía castellana, Moneda, Expedición.___Rudimentos de gramática castellana y latina. i.°: D. Man</t>
  </si>
  <si>
    <t>Cuerda, Francisco</t>
  </si>
  <si>
    <t>Francisco Cuerda</t>
  </si>
  <si>
    <t>............ 141.25 Francisco Cuerda.................. Almonací............................ 14 Francisco Diez..................... Candana........................... 141-25 Antonio Sánchez............</t>
  </si>
  <si>
    <t>Cuesta, Rafael</t>
  </si>
  <si>
    <t>Rafael Cuesta</t>
  </si>
  <si>
    <t>283-16 Rafael Cuesta..................... . S. Martin de Pusa........... 141-25 Juan Antonio Sanchez.Tam- Francisco Herrera................ Aldea nueva................... 141-25 bor—..</t>
  </si>
  <si>
    <t>Cusa, Agustín</t>
  </si>
  <si>
    <t>Agustín Cusa</t>
  </si>
  <si>
    <t>lante de Ruttman, á Fr. Tomas Boyer. También ha concedido S. M. el grado de Capitán de infantería á Don Agustín Cusa, Ayudante del regimiento suizo de Schwraller. En la gazeta numero 64 del viérnes 10 dei corriente mes, se expresó que S. M. había concedido Subtenencia de bandera en el primer bat</t>
  </si>
  <si>
    <t>Custodio de Echeverría, Pedro</t>
  </si>
  <si>
    <t>Pedro Custodio de Echeverría</t>
  </si>
  <si>
    <t>en esta plaza el año de iy85. Quien tuviere noticia de él, ó de sus herederos, acudirá en Madrid i D. Pedro Custodio de Echeverría, en la plazuela del Angel, núm. 16, quarto principal , para comunicarle un asunto importante. Conferencias eclesiásticas de Angers, celebradas de orden de los Sres. Obispos de aqu</t>
  </si>
  <si>
    <t>Cutanda, Juan Antonio</t>
  </si>
  <si>
    <t>Juan Antonio Cutanda</t>
  </si>
  <si>
    <t>ería: para la Prestamera de la mitacion de Prádena, en la diócesis de Córdoba, por fallecimiento de D. Juan Antonio Cutanda, á D. Josef María de .Miera Pacheco ; y para el Benefw ció de la villa de Espera, en dicho arzobispado de Sevilla , vacante por muerte de D. Agustín González de Mendoza, á D. Anto</t>
  </si>
  <si>
    <t>ardabrazo Treviño; y para el Medio-Préstamo de Rielves, en el arzobispado de Toledo , por muerte de D. Juan Antonio Cutanda, á D. Juan de Mata Parada y Pardo. También ha nombrado S.M. para una Canongía de la colegial deSantaFe, en el arzobispado de Granada , á D. Josef Antonio de los Riost para una Cap</t>
  </si>
  <si>
    <t>Cuvier</t>
  </si>
  <si>
    <t>a-natural, relativos áesta especie, se han ilustrado ya, y la anatomía (qué el-’ciud. Cuvier va á hacer del individuo que ha nacido aquí, completará el" conocimiento de la especie. ,,La connaturalización de la llama en Europa, dice el Moni^ tor, -seria</t>
  </si>
  <si>
    <t>Czartorinski, Príncipe</t>
  </si>
  <si>
    <t>Príncipe Czartorinski</t>
  </si>
  <si>
    <t>Petersburgo se sabe que vuelve á Francia con licencia el General Hedouville, habiendo presentado al Príncipe Czartorinski, como Encargado de negocios del gobierno francés, á M . Rivals. Se asegura que la Academia de ciencias de Petersburgo, con la mira de aprovecharse de la estancia de Mr. Robertson</t>
  </si>
  <si>
    <t>da Milla Cuellar, Ramón</t>
  </si>
  <si>
    <t>Ramón da Milla Cuellar</t>
  </si>
  <si>
    <t>Torres, del Consejo de S. M., primer Teniente Corregidor de esta villa, y escribanía del número de D. Ramón da Milla Cuellar, se lia mandado sacar de nuevo á pública subasta f por término de 15 días, una casa sita en la calle del Lobo, núzn. 9, manz. 224, que se halla tasada en 598,404 rs., y se ha seña</t>
  </si>
  <si>
    <t>Da, General</t>
  </si>
  <si>
    <t>General Da</t>
  </si>
  <si>
    <t>e 68 años, presentando á este efecto documentos falsos. FRANCIA. JBrusélas $ de. Setiembre, ■* . El General Da roe fué el 30 de. Agosto á visitar el palacio de Lacrfken.r .y el 31. á I45 6 dé la mañana. saHó para ,.Aquicgrau.: También pasaron el mismo dia por esta ciudad el Mariscal Lannes</t>
  </si>
  <si>
    <t>Daban, Juan Bernardo</t>
  </si>
  <si>
    <t>Juan Bernardo Daban</t>
  </si>
  <si>
    <t>Capitanes de los de Murcia, Príncipe y Asturias D. Antonio Granero, gradltiado de Teniente Coronel, D. Juan Bernardo Daban y D. Josef de Zapas ; y á Ayudante en el expresado de Asturias al Teniente, graduad® dL Capitán , D. Francisco Xavier González. El Rey se ha servido promover á Subtenientes en los reg</t>
  </si>
  <si>
    <t>Dámaso Navarro</t>
  </si>
  <si>
    <t>. Ramón Mirosa: para otra de la colegial de Borjadiócesis de Tarazona, vacante por fallecimiento de D. Dámaso Navarro, á D. Tadeo Sangüesa: para una Ración de la parroquial de la villa de Estadilla, diócesis de Lérida, vacante por promoción de Don Manuel Abad á la Ganongía de la catedral de Barba</t>
  </si>
  <si>
    <t>Dámaso Torrecilla, Antonio</t>
  </si>
  <si>
    <t>Antonio Dámaso Torrecilla</t>
  </si>
  <si>
    <t>sisten y sirven, se continuase el curso de este año. Así se ha verificado, enseñando los profesores D. Antonio Dámaso Torrecilla, Médico de número de dichos hospitales, y Catedrático substituto por S. M., y D. Agustín Frutos, Cirujano de ellos, y demostrador público , la miologia ó tratado de los músculos,</t>
  </si>
  <si>
    <t>Dance, Capitán</t>
  </si>
  <si>
    <t>Capitán Dance</t>
  </si>
  <si>
    <t>on prudencia, y executadas con no menor felicidad por los Capitanes que combatían á las órdenes del Capitán Dance, quien hizo las funciones de Conmodojro. Se ignora la pérdida del Almirante Linois; y hasta algún tiempo después no supo el Capitán Dance que habia tenido la felicidad de rechazar</t>
  </si>
  <si>
    <t>flota de la China ha combatido la esquadra del Almirante Linois, han decretado varias cantidades al Capitán Dance, y á los demas Oficiales que han defendido la flota. Ai Capitán Dance se le han señalado 2® guineas, y ademas una pieza de vaxilla de plata del valor de 200 guineas. Al Capitán Ti</t>
  </si>
  <si>
    <t>ron con el Capitán Dance en aquella jornada tan gloriosa á las armas Británicas, han llegado salvos. Se ha tenido una junta de los comerciantes de aquel establecimiento , y se ha abierto una subscripción pa</t>
  </si>
  <si>
    <t>stre la ••Compañía de la India , se propuso se señalase una renta anual de 300 libras esterlinas al Capitán Dance, en consideración á sus buenos y largos servicios- ú la Co mpañía , que Su quebrantada salud no le permite continuar. Mr. Tandy , hijo del General Napper-Tandy, muerto^ al servici</t>
  </si>
  <si>
    <t>Danel</t>
  </si>
  <si>
    <t>departamento deL Stura„ CUERPO XEGtSEATXVOf. En la junta del 13: de este mes eL ciud. Danel,.de Lila * presentó á nombre de esta ciudad una medalla, acuñada allí para perpetuar la. memoria de haber pasado el primer.CónsuL por aquella ciudad * la que a</t>
  </si>
  <si>
    <t>Daniel Segismundo</t>
  </si>
  <si>
    <t>ro, y nieta de D. Francisco Antonio Navarro, Mayor General'que fué de la referida ciudad , viuda de D. Daniel Segismundo deHoke, Capitán en el regimiento de SdTTonia Gota, infáníería Walona, ai servicio de la casa de Austria , según mas circunstanciadamente se confie* ne en el predicho auto. Y siendo u</t>
  </si>
  <si>
    <t>Daniel Segismundo de Hake</t>
  </si>
  <si>
    <t>que fué al servicio de la casa de Austria, y Gobernador de Ja expresada ciudad de Malinas, viuda de D. Daniel Segismundo de Hake,--Capitán en el regimiepto dé Saxonia Gotha, infantería \valona,al servicio en la nvsma casa de Austria, según mas circunstanciadamente se contiene en el predicho acto, que *e hal</t>
  </si>
  <si>
    <t>Daniel, Cayetano</t>
  </si>
  <si>
    <t>Cayetano Daniel</t>
  </si>
  <si>
    <t>agregado D. Juan Blake; y Subtenencias de bandera en el de Zamora al Sargento primero de granaderos D. Cayetano Daniel, y en los de Valencia , Ordenes Militares y Voluntarios de la Corona á los Cadetes D. Francisco de Paula Catalá, D. Juan Ruiz Alvarez, Don Ambrosio Jalón y D. Juan Doz. En atenció</t>
  </si>
  <si>
    <t>Darailh, Juan</t>
  </si>
  <si>
    <t>Juan Darailh</t>
  </si>
  <si>
    <t>érez ai Portaestandarte D. Josef Cheli: á Capitán en el del Infante al Ayudante,graduado deCapitan, D. Juan Darailh: á Portaestandartes en el de Farnesio al Sargento primero D. Dionisio García, y al Cadete D. Benigno Aréval¡o,; y en el de Cazadores del Rey á Teniente al Alférez D. Jacinto de Ir</t>
  </si>
  <si>
    <t>Dato y Ortega, Juan Pedro</t>
  </si>
  <si>
    <t>Juan Pedro Dato y Ortega</t>
  </si>
  <si>
    <t>ón: para la de Porcuna, de tercera clase, á D. Antonio Valero; y para la del Pozuelo de Calatrava á D. Juan Pedro Dato y Ortega, ambas en el territorio de la misma Orden de Calatrava, y esta última de primera clase y nueva creación. Para la plaza de Oficial primero de la Secretaría del Consejo y Cámara de</t>
  </si>
  <si>
    <t>Datoli, Francisco</t>
  </si>
  <si>
    <t>Francisco Datoli</t>
  </si>
  <si>
    <t>uerpo de Artillería se ha servido el Ríe Y promover á Te—1 nientes Coroneles á los Gefes de brigada D. Francisco Datoli , graduado*</t>
  </si>
  <si>
    <t>Daugier, Capitán</t>
  </si>
  <si>
    <t>Capitán Daugier</t>
  </si>
  <si>
    <t>a no podía salir; tres bombardas arrojáron un centenar de bombas; pero luego que la esquadrilla del Capitán Daugier tuvo bastante agua para salir del puerto , y se presentó al enemigo, se largó este.—Toda la costa está bien armada, y como es de imaginar, nuestras baterías no estarían ociosas.__</t>
  </si>
  <si>
    <t>Davan, Francisco</t>
  </si>
  <si>
    <t>Francisco Davan</t>
  </si>
  <si>
    <t>allorca, Jaén, y en el batallón de voluntarios de Valencia á los Subtenientes de los mismos cuerpos D. Francisco Davan, d,e granaderos , D. Manuel Espatolero,D. Carlos Sevilla, de granaderos, y D. Benito del Moral: Tenencia de granaderos en el regimiento Suizo , vacante de Yarm, ai de fusileros, D</t>
  </si>
  <si>
    <t>David</t>
  </si>
  <si>
    <t>a cesado de tributar honor a su goruy a su t. .vinos. En ?7J, quando perseguían á los eclesiásticos Mr. David, hizo am.stad_con Moreau. Desde aquella época hasta dos anos hace , m lia ...a vuelto Mon.au á saber de Mr. David, uaviu, quien ie para hab.a-rie qe la d mun.ia de 1 1le busco par</t>
  </si>
  <si>
    <t>David, Juan Francisco</t>
  </si>
  <si>
    <t>Juan Francisco David</t>
  </si>
  <si>
    <t>*•••« í Luisa Paiau.................................... 1 Inocencia Santa María......... ....... 1 D. Juan Francisco David....... ...... 1 Margarita Santa Matía.................. t Nicolás Pastor..................... 1 JosefFerrer...^......... ..................... * María Bautista......... ..........</t>
  </si>
  <si>
    <t>Dávila y Melero, Antonio</t>
  </si>
  <si>
    <t>Antonio Dávila y Melero</t>
  </si>
  <si>
    <t>528 D. Antonio Fernandez de Párraga, D. Antonio Dávila y Melero, Don Francisco Miíñoz y' Partearroyo, D.'Migúel Lizarza y Tamba, D. Mariano Bermudez de Gañas] P. Josef Salcedo y Zuloaga', D. Ignacio Me^dina y Iluet, D. Josef de Aldána y Perez</t>
  </si>
  <si>
    <t>Davis, Capitán</t>
  </si>
  <si>
    <t>Capitán Davis</t>
  </si>
  <si>
    <t>su propia vergüenza, al mismo tiempo que aumenta las fuerzas de sus contrarios. Por la relación del Capitán Davis , que llegó á Nueva- Yorck desde la isla de Francia con el navio Sally, se ve, como ya lo han publicado los papeles Franceses, que el Almirante Linois había dicho al llegar á dich</t>
  </si>
  <si>
    <t>Daza, Miguel</t>
  </si>
  <si>
    <t>Miguel Daza</t>
  </si>
  <si>
    <t>Romarate, D. Josef Corones, D. Nicolás de la Vega, D/MamutE Lasqucti, D. Ramón Rato, Don Roque Diaz,D. Miguel Daza,D. Diegf ]fadara,D. RamónTrullol, Don Juan Olaegui, D. Víctor Vinader, D.,.Vicente de Lago, D. Pedro Landazuri, D. Joaquín de Soroa, D. Adriinti.Morquecho, D. Bartolomé Arguelles,</t>
  </si>
  <si>
    <t>de Acedo Torres, Francisco</t>
  </si>
  <si>
    <t>Francisco de Acedo Torres</t>
  </si>
  <si>
    <t>simismo ha nombrado S. M. para otra plaza de dicho Consejo Real, vacante por fallecimiento, del Sr. D. Francisco de Acedo Torres, al Sr. D. Adrián Marcos Martínez: para la Regencia de la Audiencia de Cataluña que este dexa á D. Francisco Xavier Olea, y Carrasco: para la que este obtenía de la de Galicia á D</t>
  </si>
  <si>
    <t>de Acedo y Torres, Francisco</t>
  </si>
  <si>
    <t>Francisco de Acedo y Torres</t>
  </si>
  <si>
    <t>pado: para el Beneficio simple de la parroquial de la villa de Getafe, vacante por fallecimiento de D. Francisco de Acedo y Torres, á D. Joaquín Lerga: para un Beneficio de la catedral de Lérida , baxo la invocación de S. Bartolomé y Sta. Margarita, vacante por muerte de Don Miguel Ribé, á D. Juan Prefaneta;</t>
  </si>
  <si>
    <t>de Acedos Bravo, Juan</t>
  </si>
  <si>
    <t>Juan de Acedos Bravo</t>
  </si>
  <si>
    <t>arias en una casa sita en la calle Imperial, núm. 1, manz. 163, perteneciente á la testamentaría de D. Juan de Acedos Bravo, cuyo importe se ha regulado en 16,500 rs., acudan, dentro del término de 9 dias, ante el Sr. D. Manuel de Torres, del Consejo de S. M., primer Teniente Corregidor de esta villa,</t>
  </si>
  <si>
    <t>de Aguilar Navarro, Miguel</t>
  </si>
  <si>
    <t>Miguel de Aguilar Navarro</t>
  </si>
  <si>
    <t>al de Zamora, vacante por promoción de D. Francisco de Sales Santistéban al Arcedianato de Bejar, á D. Miguel de Aguilar Navarro, Capellán de los batallones de Marina del Departamento de Cádiz: para el Beneficio de S. Pedro de Murcia, vacante por muerte de.D. Antonio Motezuma y Roxas, y por dimisión de D. A</t>
  </si>
  <si>
    <t>de Aguilar y Ozes, Ignacio</t>
  </si>
  <si>
    <t>Ignacio de Aguilar y Ozes</t>
  </si>
  <si>
    <t>e bandera al Sargento primero D. Ignacio Solans: y en el de Málaga Subtenencia de bandera al Cadete D. Ignacio de Aguilar y Ozes. E11 el Regimiento Suizo deTraxler ha promovido S.M. á Capitán primero al de granaderos D. Josef Barmetler; y á Subteniente de granaderos al de íasiieros D. Cáilos Pe&gt;er: en el de</t>
  </si>
  <si>
    <t>de Aguilar, Antonio</t>
  </si>
  <si>
    <t>Antonio de Aguilar</t>
  </si>
  <si>
    <t>la Compañía Flamenca del mismo Real cuerpo ha promovido tambien á Cadete supernumerario al Guardia D. Antonio de Aguilar. En los regimientos de infantería de Granada , Extremadura y Málaga se ha servido el Rey promover á Tenientes á ios Subtenientes dé granaderos de los mismos cuerpos D. Josef Muro,</t>
  </si>
  <si>
    <t>de Aguilera, Francisco</t>
  </si>
  <si>
    <t>Francisco de Aguilera</t>
  </si>
  <si>
    <t>o al Sargento primero L&gt;. Manuel Mayor: en el de Navarra al Cadete del de Reales Guardias Españolas D. Francisco de Aguilera; y en ei de Extremadura ai Cadete Den Jósef Amaya. En los Regimientos de caballería de línea se ha servido el Rey promover en el de Borbon á Ayudante á D. Antonio González: á Teni</t>
  </si>
  <si>
    <t>de Aguirre, Diego</t>
  </si>
  <si>
    <t>Diego de Aguirre</t>
  </si>
  <si>
    <t>Antonio Ausejo, D. Martin de Mendoza, D. Felipe Ibargiien, D. Francisco Solís, D. Josef Pasalagua, D. Diego de Aguirre, D. Vicente Climent, D. Juan Albornoz, D. Joaquin de Toledo, D. Joaquin Leones, D. Julián Leones, D. Pedro Rato Cisneros, D. Justo Salafranca, D. Baltasar Cornelias, D. Josef Rodr</t>
  </si>
  <si>
    <t>de Aibear, Juan Francisco</t>
  </si>
  <si>
    <t>Juan Francisco de Aibear</t>
  </si>
  <si>
    <t>eha servido nombrar para una Canongía de la metropolitana de Zaragoza, vacante por fallecimiento de D. Juan Francisco de Aibear, á D. Antonio de Viliagrasa; y para un Beneficio de la metropolitana de Tarragona, vacante por muerte de D. Tablo Espinach, á D. Josef Pujol y Palmer ola. Ei Rey se ha servido con</t>
  </si>
  <si>
    <t>de Aireco, Juan</t>
  </si>
  <si>
    <t>Juan de Aireco</t>
  </si>
  <si>
    <t>to el último que lo es del de Jaén. En atención á los servicios y mérito de D.. Juan de Aireco, Teniente 'Coronel del Real cuerpo de Artillería, se ha servido el Rey concederle el grado de Coronel. En América., El Rey se ha servido nombrar para la Canongía Doctoral, de la catedral de</t>
  </si>
  <si>
    <t>de Aíuincibay, Ignacio</t>
  </si>
  <si>
    <t>Ignacio de Aíuincibay</t>
  </si>
  <si>
    <t>75,334, todos de lá creación de i.° de Setiembre, y endosados á faVor de dicho D. Mainel Bretón por D. Ignacio de Aíuincibay; y no habiendo llegado á manos de aquel á quien se dirigían, se previene que el que los hubiere, los dirija á qualquiera de los dichos D. Manuel de la*Cruz, en Orihuela, ó á IX Ma</t>
  </si>
  <si>
    <t>de Alarcon, Juan</t>
  </si>
  <si>
    <t>Juan de Alarcon</t>
  </si>
  <si>
    <t>y el público se confirmó en el ventajoso concepto que tenia de la pericia y tino de los profesores D. Juan de Alarcon, Cirujano, y D. Francisco Meseguer , Médico. Este compuso y dio á luz una Memoria sofriré la curación del mal venéreo , en la quaFexpóne con claridad' la se ir fe de hechos observ</t>
  </si>
  <si>
    <t>de Albini, Barón</t>
  </si>
  <si>
    <t>Barón de Albini</t>
  </si>
  <si>
    <t>quella ciudad el 28 del pasado; los Ministros de Bohemia y de Hesse el 30, y el Barón de Albini, Ministro directorial, debe de marchar también muy pronto.</t>
  </si>
  <si>
    <t>de Aldazabal, Juan Ventura</t>
  </si>
  <si>
    <t>Juan Ventura de Aldazabal</t>
  </si>
  <si>
    <t>Media-Ración de la Iglesia Metropolitana de Charcas, vacante por muerte de D. Rafael de Arregui, á D. Juan Ventura de Aldazabal, Cura en el Obispado del Cuzco. Finalmente ha conferido el Rey ei empleo de Teniente letrado, Asesor ordinario del Gobierno é Intendencia de Durango á D. Antonio Pinilla y Perez,</t>
  </si>
  <si>
    <t>de Alderete, Julián</t>
  </si>
  <si>
    <t>Julián de Alderete</t>
  </si>
  <si>
    <t>dos en pasta, á D. Ramón Guizaburuaga, D. Manuel Pedro Marañon, Pedro Battho , natural de Burdeos , D. Julián de Alderete , y D. Joaquín Ferrer: se dieron á los demas certificaciones de su aplicación y aprovechamiento; quedando satisfecho el concurso de la suficiencia de los que se presentaron al exa</t>
  </si>
  <si>
    <t>de Aliaga Bayot y Salas Guasqui, Manuel</t>
  </si>
  <si>
    <t>Manuel de Aliaga Bayot y Salas Guasqui</t>
  </si>
  <si>
    <t>tomo i.° De lo clausulado de las escrituras públicas, tomo 2.0: dispuestos ¿ ilustrados por el Lie. D. Manuel de Aliaga Bayot y Salas Guasqui, Abogado de los Reales Consejos, y de la Real Audiencia de Cataluña. Se venden en la librería de Fernandez, frente á las gradas de S. Felipe; en Barcelona en la de Serra, y en la</t>
  </si>
  <si>
    <t>de Amestoy, Francisco Xavier</t>
  </si>
  <si>
    <t>Francisco Xavier de Amestoy</t>
  </si>
  <si>
    <t>eliciano de Guizaburuaga y D. Jcsef de Acevedo y Villaroel; habiendo conferido la penúltima plaza á D. Francisco Xavier de Amestoy, optando á la primera media, que este dexa, D. Antonio Pascual Bayot, y nombrado para la otra media, que este obtenía, á D. Antonio Solana. En consideración á los méritos y servic</t>
  </si>
  <si>
    <t>de Andazabal, Francisco Xavier</t>
  </si>
  <si>
    <t>Francisco Xavier de Andazabal</t>
  </si>
  <si>
    <t>lla , Curas de la misma iglesia: para la Canongía magistral de la del Cuzco, vacante por ascenso de D. Francisco Xavier de Andazabal á la Dignidad de Tesorero de ella, á D. Benito Concha y Xara, Cura de la doctrina de Putina en aquel obispado: para otra Canongía de gracia de la catedral de Valladóiid de Mechoac</t>
  </si>
  <si>
    <t>de Andeyro y Aldao, Pablo</t>
  </si>
  <si>
    <t>Pablo de Andeyro y Aldao</t>
  </si>
  <si>
    <t>merosos y lucidos concursos que en dicha ciudad se han visto. Predicó el Dr. D. Pablo de Andeyro y Aldao, Canónigo Magistral, y Dignidad de Arcipreste de la misma santa Iglesia. 1 •' , Moreda 20 de Enera, y Esta villa se halla situada al no.rte del Rey no de Valencia, confinante con Aragón* y</t>
  </si>
  <si>
    <t>de Annenteros y Merino, Pedro Antonio</t>
  </si>
  <si>
    <t>Pedro Antonio de Annenteros y Merino</t>
  </si>
  <si>
    <t>romoción de D. Pantaleon Alvarez Crenfuegos á la Dignidad de Arcipreste de la catedral de Guadix, á D. Pedro Antonio de Annenteros y Merino: para una Pación ele la catedral de Zamora, vacante. por promoción de D. Manuel González Herreros á Canongía de la misma, y por no haber tenido efecto el nombramiento que S. M. hi</t>
  </si>
  <si>
    <t>de Antillon, Isidoro</t>
  </si>
  <si>
    <t>Isidoro de Antillon</t>
  </si>
  <si>
    <t>. o. 49 Ferrol................. 7 . 24. 33 8 . 24. go B . 33 * -83 9-42-33 (Artículo comunicado por D. Isidoro de Antillon.) El Mercurio de España dél mes de Diciembre se hallará desde mañana vn el despacho de la imprenta Real; en el Real sitio de Aranjuez en la tienda del Rubio , y en Cádiz en casa d</t>
  </si>
  <si>
    <t>. Rayinundo Gómez de Robles. El dia 8 del corriente tuvo la honra de besar la mano á SS. MM. y A A. D. Isidoro de Antillon, Catedrático de Astronomía, Geografía é Historia del Real Seminario de Nobles de esta Corte, con motivo de presentarles el primer tomo de la obra que ha compuesto, de orden de S.</t>
  </si>
  <si>
    <t>de Ara, Juan</t>
  </si>
  <si>
    <t>Juan de Ara</t>
  </si>
  <si>
    <t>o nombrar Tenientes Coroneles dei Real cuerpo de Artillería al Sargento mayor, graduado de Coronel, D. Juan de Ara; ai de igual clase, graduado de Teniente Coronel, D. Francisco de Arce, y al Gefe de brigada D. Antonio de la Nueva. En el Real cuerpo de Ingenieros del exército ha promovido S. M</t>
  </si>
  <si>
    <t>de Aramendi, Gonzalo</t>
  </si>
  <si>
    <t>Gonzalo de Aramendi</t>
  </si>
  <si>
    <t>te de granaderos D. Pedro Costa: en -el de Irlanda Compañías á los Ayudantes, graduados de Capitán, Don Gonzalo de Aramendi y D. Juan Bautista Moriarti: Tenencias á los Sub</t>
  </si>
  <si>
    <t>de Araoz, Juan</t>
  </si>
  <si>
    <t>Juan de Araoz</t>
  </si>
  <si>
    <t>General de la isla Marques de Sotoeruelos, y el honorano del departameiwo de^la marina en la misma D. Juan de Araoz, Teniente General de la Real Armada v tirando de los cordones del pabellón a la voz que el primero dio de viva si. rky , q,uedó repentinamente descubierta la estatua, y las bander</t>
  </si>
  <si>
    <t>de Arce, Francisco</t>
  </si>
  <si>
    <t>Francisco de Arce</t>
  </si>
  <si>
    <t>rgento mayor, graduado de Coronel, D. Juan de Ara; ai de igual clase, graduado de Teniente Coronel, D. Francisco de Arce, y al Gefe de brigada D. Antonio de la Nueva. En el Real cuerpo de Ingenieros del exército ha promovido S. M. á Teniente Coronel al Sargento mayor de brigada D. Ramón Lope, gradua</t>
  </si>
  <si>
    <t>de Arce, Joaquín</t>
  </si>
  <si>
    <t>Joaquín de Arce</t>
  </si>
  <si>
    <t>O. llamón Ortiz Canelas, D. Joaquín de Mora, D. Alonso Solís, X&gt;. Jjunan Robredo, D. Josef Luyando, D. Joaquín de Arce y D. Francisco Perez de Grandallana. A Tenientes de Fragata ¿h Alféreces de Navio D. Rafael de Luna, que era graduado;, I). Santiago Echapparret, Don Cárlos Mauduit, D. Manuel Zulaeta</t>
  </si>
  <si>
    <t>de Areco, Juan</t>
  </si>
  <si>
    <t>Juan de Areco</t>
  </si>
  <si>
    <t>onel, D. Jcsef Navarro Falcon; á Teniente Coronel al Xefe de brigada, graduado de Teniente Coronel, D. Juan de Areco; á Capitanes segundos á los Tenientes D. Pedro Velarde y D. Josef Arguinzonis, y á Tenientes á los Subtenientes D. Josef Domínguez y D. Juan Estelíer. También se ha servido confer</t>
  </si>
  <si>
    <t>de Aréjula, Juan Manuel</t>
  </si>
  <si>
    <t>Juan Manuel de Aréjula</t>
  </si>
  <si>
    <t>fermos de la epidemia, se han expurgado y purificado , baxo la di-^-reccion del acreditado profesor D. Juan Manuel de Aréjula, que ha gobernado facultativamente el método curativo de los enfermos, y dado las providencias dirigidas á cortar é impedir la propagación del contagio, desde que con este objeto</t>
  </si>
  <si>
    <t>de Arévalo, Juan</t>
  </si>
  <si>
    <t>Juan de Arévalo</t>
  </si>
  <si>
    <t>y por la escribanía de provincia de D Juan Antonio de Zamacola, penden los autos de abintestato de D. Juan de Arévalo, vecino que fué de esta corte, en los que se ha mandado que las personas que tengan derecho á los bienes de dicho abintestato, acudan á dicho juzgado á usar de él. "A voluntad de</t>
  </si>
  <si>
    <t>de Arguelles, Juan</t>
  </si>
  <si>
    <t>Juan de Arguelles</t>
  </si>
  <si>
    <t>io Sanchezj á Teniente de cazadores al de fusileros D. Manuel Perez; á Tenientes á los Subtenientes D. Juan de Arguelles y D. Francisco de las Piedras; á Subtenientes á los segundos Ayudantes D. Pedro Junco y D. Alejandro Alvarez Guitian , y á Ayudante segundo, con grado de Subteniente , al Sargento pri</t>
  </si>
  <si>
    <t>de Arias, Juan</t>
  </si>
  <si>
    <t>Juan de Arias</t>
  </si>
  <si>
    <t>oducían los mejores efectos envíos enfermos de fiebre amarilla ó vómito negro, lo participó al Lie. D. Juan de Arias , Protomédico de aquella ciudad, y Médico de su Real hospital de S. Carlos, insinuándole que, si no hallaba inconveniente, hiciese algunos ensayos en los casos que juzgase oportun</t>
  </si>
  <si>
    <t>de Armfeldt, Conde</t>
  </si>
  <si>
    <t>Conde de Armfeldt</t>
  </si>
  <si>
    <t>re, Anoche llegaron aquí de Cárlsruhe el'Rey y Reyna de Suecia, acompañados del Conde de Armfeldt, Ministro sueco en Viena , del Barón de Bildh, que goza de igual carácter en Ratisbona , y de una comitiva muy numerosa; visitáron al Elector y Electriz de Wurtemberg, de quienes recibiéron</t>
  </si>
  <si>
    <t>de Arregui, Rafael</t>
  </si>
  <si>
    <t>Rafael de Arregui</t>
  </si>
  <si>
    <t>la Diócesis; y para otra Media-Ración de la Iglesia Metropolitana de Charcas, vacante por muerte de D. Rafael de Arregui, á D. Juan Ventura de Aldazabal, Cura en el Obispado del Cuzco. Finalmente ha conferido el Rey ei empleo de Teniente letrado, Asesor ordinario del Gobierno é Intendencia de Durang</t>
  </si>
  <si>
    <t>de Arreo, Ventura</t>
  </si>
  <si>
    <t>Ventura de Arreo</t>
  </si>
  <si>
    <t>la parroquial de lüescas, en.el arzobispado de Toledo, por fallecimiento de D. Andrés Madrigal , á D. Ventura de Arreo. S. M. se ha servido promover en el regimiento de infantería de Ultonia á Ayudante al Teniente; graduado de Gapitan, D. Josef Lamas; y en el de Extremadura á Teniente al Subtenien</t>
  </si>
  <si>
    <t>de Arriada y Agustín García, Juan</t>
  </si>
  <si>
    <t>Juan de Arriada y Agustín García</t>
  </si>
  <si>
    <t>uerpo de Artillería se ha dignado S. M. conferir los empleos de Coroneles:á los Tenientes Coroneles D. Juan de Arriada y Don Agustín García, el primero graduado de Coronel; y el de Teniente Coronel ál-gefe de brigada D. Francisco Carasa&gt; ■--&lt; . En el Real cuerpo de Ingenieros del i.exército se ha servido el Rey promov</t>
  </si>
  <si>
    <t>de Arzalaya, Manuel María</t>
  </si>
  <si>
    <t>Manuel María de Arzalaya</t>
  </si>
  <si>
    <t>cente Flores, y en el propio cuerpo y los de la Princesa y Málaga á los Cadetes D. Ralael del Hoyo, D. Manuel María de Arzalaya y D. Antonio Mortemard. En ei Real Cuerpo de Artillería se ha servido S. M. promover á Capitán primero de á caballo al Capitán primero de infantería D. Josef Gayangos: á Capitanes pri</t>
  </si>
  <si>
    <t>de Ascargorta y Ramírez, Manuel María</t>
  </si>
  <si>
    <t>Manuel María de Ascargorta y Ramírez</t>
  </si>
  <si>
    <t>to y aplicación que en el discurso del año ha manifestado su Secretario é individuo actual el Lie.. D. Manuel María de Ascargorta y Ramírez. Habiéndose mandado por el Señor Juez Protector de las obras pías, que fundó el Emo. Sr. Cardenal Belluga, poner en execucion la entrada de dos Monjas en el convento de Mercenaria</t>
  </si>
  <si>
    <t>de Asprery, Manuel</t>
  </si>
  <si>
    <t>Manuel de Asprery</t>
  </si>
  <si>
    <t>icha Secretaria dé Estado y del Despachó de7Hacienda: para la Intendencia éé la ptóvineia dé Jaén á D. Manuel de Asprery que lo era de la de Soria: para esta al Comisario OrdenadorD. Mateo Diez y Duran, Ministro dé Hacienda de“ Menorca: para este Ministerio, con igual grado de Ordenador , al Comisar</t>
  </si>
  <si>
    <t>de Astrearena, Pedro</t>
  </si>
  <si>
    <t>Pedro de Astrearena</t>
  </si>
  <si>
    <t>ño, núm. 32 , para que los acreedores, graduados é ignorados, á los bienes de la ocurrencia del Sr. D. Pedro de Astrearena , Marques que fué de Murillo, concurriesen á ¡unta general en las tardes de los días 23, 24, 25 y 2ó de Mayo último, se verificó dicha junta general en solo el dia 23, y se acordó</t>
  </si>
  <si>
    <t>el supremo de Castilla, que despacha los autos de la ocurrencia de acreedores á los bienes del Sr. D. Pedro de Astrearena, Marques que fué de Murillo, por ausencia de Madrid, en virtud dé Real orden,del Sr.Marques de Casa-García,ha señalado para celebrar junta general de dichos acreedores el día 10 d</t>
  </si>
  <si>
    <t>premo de Castilla, Juez en virtud de Real orden de la ocurrencia de acreedores á los bienes del Sr. D. Pedro de Astrearena, Marques que fué de Muríllo, ha señalado par4 celebrar junta general el dia 30 del presénte, á las 4 de su tardecen la sala del patronato, dé los íSresiTturraldes.,*sita én el Con</t>
  </si>
  <si>
    <t>de Atbini, Barón</t>
  </si>
  <si>
    <t>Barón de Atbini</t>
  </si>
  <si>
    <t>la Austria;, de Mr. Globig, Ministro de Saxonia en la Dieta, por Saxonia** del Barón de Atbini, Ministro directoriai de la Dieta* por el Elector Archi-Cánciller, y de Mr. Otto de Gemmingen, Ministro del Elector de Badén en la corte de Viena, por el mencionado Elector. Como lía mayor</t>
  </si>
  <si>
    <t>de Aviraneta, Felipe Francisco</t>
  </si>
  <si>
    <t>Felipe Francisco de Aviraneta</t>
  </si>
  <si>
    <t>o , para lo qual y que la circulación se execute con la prontitud que exige el asunto, acompaño &amp;c. Don Felipe Francisco de Aviraneta, de Madrid, remitió por el correo de 2 t de Diciembre ultimo á D. Domingo de Galardi , de la ciudad de S. Sebastian , 3 vales Reales de á 150 pesos de la creación de Setiembre , n</t>
  </si>
  <si>
    <t>etá' del dia Enero prójimo pasado haberse extraviada, se avisa?ál público por el qué se Jos remitió D. Felipe Francisco de Aviraneta para que no ocurra embarazo en #1 curso de ellos. En virtud de providencia déf Sr. D. MánüePMaría de Junco, del Consej’o de S. M. r Alcalde de su Real casa y corte , dada en los a</t>
  </si>
  <si>
    <t>de Ayala, Ramón</t>
  </si>
  <si>
    <t>Ramón de Ayala</t>
  </si>
  <si>
    <t>r de Sotnarriba; esta resulta al Teniente D. Juan Manrique: empleos d¿ Tenientes á los Subtenientes D. Ramón de Ayala, de granaderos, y D. Miguel Valdés; de Subteniente de granaderos al de fusileros D. Antonio Luis Aleado; de Subteniente de compañía á D. Manuel Muñoz, agregado en esta clase al ex</t>
  </si>
  <si>
    <t>de Ayestaran y Landa, Agustín</t>
  </si>
  <si>
    <t>Agustín de Ayestaran y Landa</t>
  </si>
  <si>
    <t>do,Mon;y ¿y’elarde, Arzobispo de la metropolitana de Tarragona, siendo el consagrante el* limo* Sr. D. Agustín de Ayestaran y Landa;, Obispo de aquella diócesis , y asistentes los I-lustrísimos Sres. D. Manuel Cayetano Muñoz, Obispo de Licópolis , y auxiliar del arzobispado de Sevilla, y D. Josef Vicente de la</t>
  </si>
  <si>
    <t>de Azas, Juan</t>
  </si>
  <si>
    <t>Juan de Azas</t>
  </si>
  <si>
    <t>nio Martínez y Tacón , D. Rafael Casa so la y ViUa.iba. En 3.a fecha. D; Luis de Córdoba y Postigo, D. Juan de Azas, D. Josef Olózága y Travieso, D. Francisco Gazcon y Molina, D. Fernando Bilbao' y Xiinenez \ D. Pedro Notar bar tolo y Bolcgria, Dgíi Antonio González de Socueva, D. Francesco Cha</t>
  </si>
  <si>
    <t>de Azconaga Caballero, Pedro</t>
  </si>
  <si>
    <t>Pedro de Azconaga Caballero</t>
  </si>
  <si>
    <t>a á dicha audiencia. Por el juzgado del Sr. 0, Torquáto Antonio Collado, y escribanía del numeró de D. Pedro de Azconaga Caballero, se han principiado autos de oficio , Cor motivo del fallecimiento ábiiítestátó dé Maná Téresa Alonso, natural de la ciudad dé</t>
  </si>
  <si>
    <t>de Azconaga, Juan</t>
  </si>
  <si>
    <t>Juan de Azconaga</t>
  </si>
  <si>
    <t>ubtenencias de bandera en este Cuerpo al Cadtte D¿*Roque Lillo, y al Sargento primero de granaderos D. Juan de Azconaga: en el de Soria al Sargento primero D. Ignacio Lozano; y en el de Jaén al dé igual clase de granaderos D. Fernando Chaparro: el empleo de Gapitañ sFgfindo en el primar batallón de</t>
  </si>
  <si>
    <t>de Basave, Luis</t>
  </si>
  <si>
    <t>Luis de Basave</t>
  </si>
  <si>
    <t>Pardo, D. Josef Chacón, D. Martin de la Quintana, D. Cayetano Picado, Don Francisco Villavicencio, D. Luis de Basave, D. Francisco de la Lastra, D. Felipe Saavedra, D. Josef Melgares, D.. Alonso Ramírez , D. Antonio Osorio, D. Manuel Alyarez, D. Bartolomé Pita Daveyga, D. Luis de los Ríos, D. Fr</t>
  </si>
  <si>
    <t>de Becerril, Miguel</t>
  </si>
  <si>
    <t>Miguel de Becerril</t>
  </si>
  <si>
    <t>Mariano Zorraquin y D. Esteban Marbeuf; y á Subtenientes de bandera de los de Avila y Chinchilla á D. Miguel de Becerril y D. Miguel Gallego de Gallego y Valcarcel. En atención á los méritos y circunstancias de D. Bernardo Delgado Quadrillero, Secretario de la Junta de Gobierno de las Reales obras y fáb</t>
  </si>
  <si>
    <t>de Beigrano, Domingo</t>
  </si>
  <si>
    <t>Domingo de Beigrano</t>
  </si>
  <si>
    <t>de BuenosAyres , á D. Cayetano Josef de Boo, Cura Rector de la misma catedral; y para la segunda á D. Domingo de Beigrano , también Cura Rector de ia parroquia de la Concepción de la propia ciudad. El Rey se ha servido conferir los empleos de Coronel y Sargento Mayor del regimiento de infantería de l</t>
  </si>
  <si>
    <t>de Benavente, Juan Bautista</t>
  </si>
  <si>
    <t>Juan Bautista de Benavente</t>
  </si>
  <si>
    <t>Casa y Corte, se ha mandado que las personas que se consideren con derecho al mayorazgo fundado por D. Juan Bautista de Benavente, Tesorero general que fué del Real Consejo de las Ordenes, y de Doña María de Mendoza su muger, de que fué último poseedor D. Francisco de Paula Chamizo, Marques de Montemorana, v</t>
  </si>
  <si>
    <t>de Berga, Pedro</t>
  </si>
  <si>
    <t>Pedro de Berga</t>
  </si>
  <si>
    <t>a y Ordenes Militares á Subtenientes de bandera al Sargento primero D. Joaquín Zanzano, y al Cadete D. Pedro de Berga. . S. M. se ha servido nombrar para la Vara de Alcalde mayor Teniente de Corregidor de la ciudad de Guadalaxara , vacante por promoción* de D. Mateo Valdemoros á la Asesoría togad</t>
  </si>
  <si>
    <t>de Blas, Juan Manuel</t>
  </si>
  <si>
    <t>Juan Manuel de Blas</t>
  </si>
  <si>
    <t>Subtenientes de granaderos Don Francisco dei Rio y D. Pedro Venero: en el de America al Subteniente D. Juan Manuel de Blas: Subtenencias de bandera en el de Sevilla al Cadete del Fixo de Ceuta D. Antonio Novoa: en el de Granada al Cadete D. Luis Martínez del Corro: en el de Valencia al Sargento primer</t>
  </si>
  <si>
    <t>de Bnstamante, Juan</t>
  </si>
  <si>
    <t>Juan de Bnstamante</t>
  </si>
  <si>
    <t>. Rafael de Lobo, D. Francisco Leceta, D. Manuel Ocarol, Dv x\ntonio Magadan, D. Norberto de Mella, D. Juan de Bnstamante, D. Joaquin del Pollo Sagasti, D. Pedro Negréte, D. Manuel Abreü , D. Ignacio del Valle, D. Josef de Santiago, D'. Joaquin Fernandez, D. Bernardo Meruendano, D. Josef del Hoyo,D.</t>
  </si>
  <si>
    <t>de Borboa, Luis María</t>
  </si>
  <si>
    <t>Luis María de Borboa</t>
  </si>
  <si>
    <t>carta. Oración de N. SS. P. Pío vií en su exaltación al pontificado, dedicada al Emo. y Excmo. Sr. D. Luis María de Borboa, con el retrato de S. S. : puede ir por el correo; y se hallará con el Cántico de los Cánticos, del mismo autor, en S. Martin, en el despacho de las obras del Rmo. Feixoo, y en la</t>
  </si>
  <si>
    <t>de Buergo, Juan</t>
  </si>
  <si>
    <t>Juan de Buergo</t>
  </si>
  <si>
    <t>...................... i ■■■ D. Mariano Calveton, vecino de Irun, dirigió en 26 de Octubre último á Don Juan de Buergo, de esta Corte, un vale de 150 pesos, creación de i.° de Enero de este año, núm. 289,808 , con el último endoso á favor de dichoD. Juan de Buergo, que se ha extraviado. El que sup</t>
  </si>
  <si>
    <t>de Calera, Andrés</t>
  </si>
  <si>
    <t>Andrés de Calera</t>
  </si>
  <si>
    <t>de la Osa d¿ ia Vega, en la diócesis dé Cuenca, vacante por fallecimiento de D. Lorenzo Mackeon, á D. Andrés de Calera: para1 el Beneficio de la parroquial de la villa de, Alanis, en el arzobispado de Sevilla, vacante por muerte de D. Manuel Josef Delgado*, á D. Mariano Galan: para las dos l erdas</t>
  </si>
  <si>
    <t>de Calzada, Bernardo María</t>
  </si>
  <si>
    <t>Bernardo María de Calzada</t>
  </si>
  <si>
    <t>o suplemento se ha vertido al castellano por el mismo traductor de las Memorias, dadas ya á luz por Don Bernardo María de Calzada: el suplemento se dará suelto y unido en la misma obra. Se le ha aumentado el retrato del Sultán. Se hallará en la librería de Dávila, calle de las Carretas. Manual de comerciante</t>
  </si>
  <si>
    <t>de Cardemon, Juan</t>
  </si>
  <si>
    <t>Juan de Cardemon</t>
  </si>
  <si>
    <t>l médico de la misma D. Casiano Caballero, y por el cirujano del regimiento de infantería de Aragón Don Juan de Cardemon mas de 300 criaturas._En este grande número de vacunados no se ha experimentado la menor desgracia; todos han salido con felicidad,.y disfrutan de lá mejor salud.__ Se ha logrado</t>
  </si>
  <si>
    <t>de Cárdenas y Cárdenas, Ignacio</t>
  </si>
  <si>
    <t>Ignacio de Cárdenas y Cárdenas</t>
  </si>
  <si>
    <t>Josef González de Merino, D. Bernardo Gil de Ledesma y Seix , D. Josef Santiago Arias de Saavedra, Don Ignacio de Cárdenas y Cárdenas, D. Juan Loriga y Reguera, D. [oaquin Aguado y Cañas , D. Ramón Palacio y San Cristóbal, D. Mateo Hernández de Urcullo, D. Antonio del Riosoto y Espino, D. Josef Graces y Graces,</t>
  </si>
  <si>
    <t>de Cárdenas, Joaquín</t>
  </si>
  <si>
    <t>Joaquín de Cárdenas</t>
  </si>
  <si>
    <t>de granaderos D. Mateo de Cárdenas y D. Luis Gavilán: á esta clase á los Subtenientes de fusileros D. Joaquín de Cárdenas y D. Rafael Gavilán; y á Subtenientes de bandera al Cadete D. Francisco Martínez y al Sargento segundo D. Josef Carrera. Los tenedores de Vales-dinero de la Tesoreria.de Consolidación</t>
  </si>
  <si>
    <t>de Cárdenas, Mateo</t>
  </si>
  <si>
    <t>Mateo de Cárdenas</t>
  </si>
  <si>
    <t>itán al Subteniente de granaderos D. Bartolomé Camacho; á Subteniente de granaderos ai de fusileros D. Mateo de Cárdenas, y á Subteniente de bandera al Cadete D. Juan de Cueliar y Zaldivar. - — ; — ---- ■------- :------- -—~—-—-rrrr r-p-:-------- -------- — - _ . Quien quisiere hacer postura a un Of</t>
  </si>
  <si>
    <t>iplinadas de infantería deda Havana ha promovido S. M. á Capitanes á los Subtenientes de granaderos D. Mateo de Cárdenas y D. Luis Gavilán: á esta clase á los Subtenientes de fusileros D. Joaquín de Cárdenas y D. Rafael Gavilán; y á Subtenientes de bandera al Cadete D. Francisco Martínez y al Sargento s</t>
  </si>
  <si>
    <t>de Castaños, Manuel</t>
  </si>
  <si>
    <t>Manuel de Castaños</t>
  </si>
  <si>
    <t>ste, acuda al oficio de Juan Ignacio Ortega , Escribano del número en dicha ciudad ; y en Madri d á Don Manuel de Castaños, calle nueva de S. Isidro, junto al convento de la Merced, casa núm. 4, en el término de 30 dias que concluyen en 24 del corriente; advirtiéndose que se admiten vales Reales, con</t>
  </si>
  <si>
    <t>de Castro y Barbeyto, Benito Francisco</t>
  </si>
  <si>
    <t>Benito Francisco de Castro y Barbeyto</t>
  </si>
  <si>
    <t>obrá.que escribió el M. R, P. Fr. Manuel Guardiola y Rueda, Predicador apostólico áte.,, por el Qr. D. Benito Francisco de Castro y Barbeyto, Presbítero &amp;c.: un tomo en 8.°, segunda edición. Se hallará en la librería de Campo, calle de Alcalá. Ana Bolena: tragedia en g actos por D. Lorenzo María Villaroel: segunda cclí</t>
  </si>
  <si>
    <t>de Castro, Benito María</t>
  </si>
  <si>
    <t>Benito María de Castro</t>
  </si>
  <si>
    <t>Betanzos á D. Antonio Martínez de Aguirre y Soto, D. Miguel Diez, D. Felipe Marcelino de la Huerga, D. Benito María de Castro y D. Joaquín de Ponte, los quatro últimos Tenientes de los mismos cuerpos: á Tenientes de granaderos de los de Laredo, Segovia y Lorca á los de fusileros D. Santiago deLizaranzu, D. R</t>
  </si>
  <si>
    <t>de Castro, Juan</t>
  </si>
  <si>
    <t>Juan de Castro</t>
  </si>
  <si>
    <t>Antonio Moreno, y al de fusileros D. Juan Quiñones: á Subtenientes de granaderos á los de fusileros D. Juan de Castro, D. Josef Manuel González y D. Vicente Martínez: á Subtenientes de compañía á los de bandera D. Luís Trevejos, D. Domingo Lamadriz y D. Bernardo Espert; y á Subtenientes de bander</t>
  </si>
  <si>
    <t>de Castro, Manuel</t>
  </si>
  <si>
    <t>Manuel de Castro</t>
  </si>
  <si>
    <t>standartes D. Antonio María Manso y D. Joaquin Polo: en el de Santiago á Alférez al Portaestandarte D. Manuel de Castro; y en el de cazadores de Almansa á Capitán al Ayudante D. Joaquin Montemayor. Ei Rey se ha servido promover á Subtenientes del Real cuerpo de Artillería, en premio de su aplicació</t>
  </si>
  <si>
    <t>de Cea Cachurro, Antonio</t>
  </si>
  <si>
    <t>Antonio de Cea Cachurro</t>
  </si>
  <si>
    <t>para el Arcipresíazgo de la villa de Becerril de Campos, en la diócesis de Patencia, por muerte de D. Antonio de Cea Cachurro, á D. Manuel Redondo García, Beneficiado y Cura Teniente de la propia villa: para el Beneficio de la Aparición del Señor y S. Antonio Mártir, unido al 3.0 y 4.0 de S. Miguel, vaca</t>
  </si>
  <si>
    <t>de Cea, Martín</t>
  </si>
  <si>
    <t>Martín de Cea</t>
  </si>
  <si>
    <t>o servidero de la Parroquia de S. Pedro de Cela, en la Diócesi de Tuy, vacante por fallecimiento de D. Martin de Cea , á D. Francisco Valverde, Cura Párroco de.la misma Iglesia, con la precisa obligación de poner un Saeerdotyque le ayude en las funciones de su ministerio. El Rey se ha servido co</t>
  </si>
  <si>
    <t>de Cerdan Pontero, Ambrosio</t>
  </si>
  <si>
    <t>Ambrosio de Cerdan Pontero</t>
  </si>
  <si>
    <t>laza de Fiscal del Consejo y Cámara de Indias , por lo perteneciente al Perú, vacante por muerte de D. Ambrosio de Cerdan Pontero, á D. Josef Gorvea y Badillo, Regente de la Real Audiencia de Buenos-Ayres. Debiendo salir para el 20 de Marzo próximo, si el tiempo lo permitiere , la fragata de la Real compañía</t>
  </si>
  <si>
    <t>de Cerpa Manrique, Luis</t>
  </si>
  <si>
    <t>Luis de Cerpa Manrique</t>
  </si>
  <si>
    <t>de gracia, vacante en la catedral de Antequera de Oaxaca por muerte de D. Josef Polero y Toledo, á D. Luis de Cerpa Manrique, que lo era de la deVa, lladolid de Mechoacan; y ha nombrado para otra Canongía de merced de la Concepción de Chile, vacante por fallecimiento de D. Jacinto Morí-» lio, á D. André</t>
  </si>
  <si>
    <t>de Ciscar, Gabriel</t>
  </si>
  <si>
    <t>Gabriel de Ciscar</t>
  </si>
  <si>
    <t>dice en que se explica un método gráfico para corregir las distancias de la luna á otro astro , por D. Gabriel de Ciscar: un tomo á la rústica.*........ ................ .................... ...... 12. IO* Memoria sobre algunos métodos de calcular la’ longitud por las distancias lunares, por D.Josef</t>
  </si>
  <si>
    <t>de Clemente y Miro, Francisco</t>
  </si>
  <si>
    <t>Francisco de Clemente y Miro</t>
  </si>
  <si>
    <t>n: segundo viage de Robinson, á continuación del que escribió Joaquín Henrique Campe: traducido por D. Francisco de Clemente y Miro, Teniente de Navio de la Real Armada. S. M. (que Dios guarde) se ha servido conceder al traductor la gracia de que se costee en la Imprenta Real la impresión de esta obra, y de la</t>
  </si>
  <si>
    <t>de Cobos, Tomás</t>
  </si>
  <si>
    <t>Tomás de Cobos</t>
  </si>
  <si>
    <t>al Portaestandarte D. Lucio Oliveros; y á Teniente en el de Calatrava, décimo de línea, al Alférez Don Tomas de Cobos. En atención á los méritos del Dr. D. Josef Sánchez Chaves, ha venido S. M. en conferirle plaza de Ministro Tesorero de sus Reales Caxas de Oruro. en América. En cumplimiento de l</t>
  </si>
  <si>
    <t>de Cocostegui, Francisco Xavier</t>
  </si>
  <si>
    <t>Francisco Xavier de Cocostegui</t>
  </si>
  <si>
    <t>le servidero de la parroquial de Santa María de Huéscar, en el reyno de Granada, vacante por muerág D. Francisco Xavier de Cocostegui, á D. Tomas Martínez Cara</t>
  </si>
  <si>
    <t>de Colli, Barón</t>
  </si>
  <si>
    <t>Barón de Colli</t>
  </si>
  <si>
    <t>icado* , :; Florencia 16 de Marzo, El dia 3 de este mes llegó á esta. ciudad el Barón de Colli, Teniente Feld-Mariscal de los exércitos de S, M. el Emperador de Alemania , para residir cerca de nuestra corte, en calidad de su Enviado extraordinario y Ministro plenipotenciario. El dia</t>
  </si>
  <si>
    <t>de Conessin, Luis</t>
  </si>
  <si>
    <t>Luis de Conessin</t>
  </si>
  <si>
    <t>PJSpfetMad llegó aq^ií el 1.® -del coj-penre en 38 dias desde Filadelfia. Viene en él como pasagéro Mr. Luis de Conessin, - y^&gt;1trahe'muchbSIpliegQSile'G^rdihifh^ á quien dcxó en aquella -ciudad. Ha si Lo Secretario' de toda confianza del General Lecierc en •Santo Domingo., de donde paso á ia Hayana</t>
  </si>
  <si>
    <t>de Consuegra, Salvador</t>
  </si>
  <si>
    <t>Salvador de Consuegra</t>
  </si>
  <si>
    <t>isdicción de la villa de Santa Clara, en la isla de Cuba , ha promovido S. M. á Capitán al Teniente D. Salvador de Consuegra; á esta resulta al Subteniente D. Francisco Antonio Machado; á la de este al Alférez D. Josef María Consuegra, y á la que este déxa al Sargento D. Josef Manuel Machado. También se</t>
  </si>
  <si>
    <t>de Contreras Ladrón de Guevara, Martín</t>
  </si>
  <si>
    <t>Martín de Contreras Ladrón de Guevara</t>
  </si>
  <si>
    <t>odo perteneciente al Real colegio de niñas expósitas de Ntra. Sra. de la Paz de esta corte, acuda á D. Martin de Contreras Ladrón de Guevara, en la calle del Sordo, casa de la Excma. Sra. Condesa de Mora, quien les manifestará la situación de todo, y las condiciones del arriendo, para tratar de su ajuste con el mismo,</t>
  </si>
  <si>
    <t>de Córdoba y Figueroa, Miguel</t>
  </si>
  <si>
    <t>Miguel de Córdoba y Figueroa</t>
  </si>
  <si>
    <t>los regimientos de infantería de Granada , Navarra, América y Ñapóles Tenencias á los Subtenientes Don Miguel de Córdoba y Figueroa, D. Francisco Valluguera , D. Joaquín Gayoso y D. Josef Borlascá; y en el de Zamora Subtenencia de bandera al Cadete D. Tomas Vielsa y Cocon. El Rey se ha servido conceder Subtene</t>
  </si>
  <si>
    <t>de Corpas, Miguel</t>
  </si>
  <si>
    <t>Miguel de Corpas</t>
  </si>
  <si>
    <t>Teniente Coronel agregado al de húsares Voluntarios: áTejientes en los del ReyyBorbon y Santiago á D. Miguel de Corpas, Don Josef Sarralde, D. Pedro Rodríguez y D. Francisco Serrano: á Alférez en él de Farnesio á D. Josef Fernandez de Castro, Portaestandarte del</t>
  </si>
  <si>
    <t>de Cosío, Bernardo Manuel</t>
  </si>
  <si>
    <t>Bernardo Manuel de Cosío</t>
  </si>
  <si>
    <t>io Tavira, Obispo de Salamanca, que entonces se hallaba Prior de la Real casa de Santiago de Uclés, D. Bernardo Manuel de Cosío, Cura de esta parroquial, el referido D. Vicente, y el Lie. D. Juan Francisco Martínez Falero , con presencia de dichos fragmentos , que se lleváron al mismo sitio, dispusieron ha</t>
  </si>
  <si>
    <t>cierto en el desempeño de este encargo , le pareció conveniente obrar de acuerdo con los expresados D. Bernardo Manuel de Cosío, y D. Vicente Martínez Falero, Académicos todos tres en la clase de correspondientes de la Real Academia de la Historia; y después de haber hecho nuevos reconocimientos del terren</t>
  </si>
  <si>
    <t>de Cosío, Nicolás</t>
  </si>
  <si>
    <t>Nicolás de Cosío</t>
  </si>
  <si>
    <t>ha servido S. M. promover á Capitán del regimiento de dragones de España, en el reyno de México, á D. Nicolás de Cosío, Teniente con grado de Capitán del mismo cuerpo. Escriben de Valencia la carta siguiente: „ Consequente al anuncio de la gazeta de 3 de Enero de este año, sobre el premio que oíre</t>
  </si>
  <si>
    <t>de Cueliar y Zaldivar, Juan</t>
  </si>
  <si>
    <t>Juan de Cueliar y Zaldivar</t>
  </si>
  <si>
    <t>ubteniente de granaderos ai de fusileros D. Mateo de Cárdenas, y á Subteniente de bandera al Cadete D. Juan de Cueliar y Zaldivar. - — ; — ---- ■------- :------- -—~—-—-rrrr r-p-:-------- -------- — - _ . Quien quisiere hacer postura a un Oficio de Receptor de los ciento del número de los Reales Consejos, co</t>
  </si>
  <si>
    <t>de Dalberg, Barón</t>
  </si>
  <si>
    <t>Barón de Dalberg</t>
  </si>
  <si>
    <t>ra ; el Conde/ de Bunau , Ministro plenipotenciario del Elector de Saxonia ; el Barón de Dalberg, Ministro plenipotenciario del Elector de Badén; eL Barón de Steube, Ministro plenipotenciario del Elector de Wurtemberg; el Barón de Mahlsburg , Ministro plenipotenciario del Elector de He</t>
  </si>
  <si>
    <t>de Dos Puentes, Barón</t>
  </si>
  <si>
    <t>Barón de Dos Puentes</t>
  </si>
  <si>
    <t>Hesíe-Darinstadt. También se levanta el *&gt;eqüestro puesto sobre los bienes del Barón de Dos Puentes, Teniente General al servicio de Baviera, y al Earon Francisco Jorge Rerpen, Consejero íntimo del Elector de Tréveris. Las personas mencionadas en dichos decretos entrarán en el goce de</t>
  </si>
  <si>
    <t>de Drrrojola, Agustín</t>
  </si>
  <si>
    <t>Agustín de Drrrojola</t>
  </si>
  <si>
    <t>D. Andrés Qúintian Ponce á la dignidad' de Dean de la misma iglesia, se ha servido el Rey nombrar á D. Agustín de Drrrojola , Cura Rector del Sagrario-de ella. .El Key se ha dignado*nombrar Sargento mayor veterano* déí :r£gimiento de dragones provinciales de Nueva-Galicia , en:di reynó. áeNúeva-Fspaña</t>
  </si>
  <si>
    <t>de Durango, Francisco</t>
  </si>
  <si>
    <t>Francisco de Durango</t>
  </si>
  <si>
    <t>..... D. Joseph Ligero. En Valencia.......... D. Francisco Peyrolon y compañía. En Valladolid.......D. Francisco de Durango é hijo mayor. &gt; En Zamora...... ..... D. Vicente Perez de Tejada. En Zaragoza....... . D. Tomas de la Madrid. En Zeuta............ . D. Pedro Huguet, comisionado subalterno del de</t>
  </si>
  <si>
    <t>de Echegaray, Miguel</t>
  </si>
  <si>
    <t>Miguel de Echegaray</t>
  </si>
  <si>
    <t>to con la correspondiente proporción á las edades y capacidad de los párvulos, niños y jóvenes, por D. Miguel de Echegaray, Presbítero. Se resiente por lo común este género de obras de poca exactitud en las expresiones, de gran confusión en las sentencias, de ningún análisis en la organización de ella</t>
  </si>
  <si>
    <t>de Echegoyen, Manuel</t>
  </si>
  <si>
    <t>Manuel de Echegoyen</t>
  </si>
  <si>
    <t>udante mayor del regimiento de la Real guardia de infantería Walona. Igualmente ha nombrado S. M. á D. Manuel de Echegoyen para el Corregimiento de letras que se ha de erigir en la villa de S. Clemente, luego que se verifique la vacante del Corregimiento político, que será et dia 10 de Setiembre de 18</t>
  </si>
  <si>
    <t>de Echenique, Miguel Manuel</t>
  </si>
  <si>
    <t>Miguel Manuel de Echenique</t>
  </si>
  <si>
    <t>metropolitana de Toledo: para una Media-Ración de lá" catedral de Calahorra, vacante por muerte de D. Miguel Manuel de Echenique, á D. Josef Antonio Vázquez, Cura de la parroquia de S. Andrés de aquella ciudad: para la Prestamera de lá villa de la Osa d¿ ia Vega, en la diócesis dé Cuenca, vacante por fallec</t>
  </si>
  <si>
    <t>de Edelsheim, Barón</t>
  </si>
  <si>
    <t>Barón de Edelsheim</t>
  </si>
  <si>
    <t>cuyo arreglo se trabaja. Mltona j de Abril. \ Cuarta del Ministro Talkyrand al Barón de Edelsheim, Ministro del EkftW de Badén &gt; fecha 11 de Marzo.. J ccabiba de escribir á V. E. una nota cuyo objeto era pedir la arresesicilon de la junta de emigrados franceses que hay-en OíFenburgo, qu</t>
  </si>
  <si>
    <t>de Eguia, Francisco</t>
  </si>
  <si>
    <t>Francisco de Eguia</t>
  </si>
  <si>
    <t>cias á los Subtenientes de granaderos de los mismos cuerpos D. Joaquín Becerra, D. Rarrion-de Lara, D. Francisco de Eguia y D. Guillelmo de Luna; y en el expresado de Irlanda, Capellanía á Fr. Juan de S. Rafael, presbítero religioso Carmelita descalzo. El Rey se ha servido conferir el empleo de Guarda-Al</t>
  </si>
  <si>
    <t>de Eguia, Nazareo</t>
  </si>
  <si>
    <t>Nazareo de Eguia</t>
  </si>
  <si>
    <t>á D. Gaspar Durvvel y D. Francisco Serrallach, Capitanes segundos; y á este empleo á los Tenientes D. Nazareo de Eguia y D. Simón Trevilla. S.M. se ha servido promover en el regimiento de caballería del Rey á Teniente al Alférez D. Josef Castilla: en el de caballería de Borbon á Teniente Coronel al Sa</t>
  </si>
  <si>
    <t>de Eguileta, Joaquín</t>
  </si>
  <si>
    <t>Joaquín de Eguileta</t>
  </si>
  <si>
    <t>ber, el credo, pater nbstery ave María y salve, pecados y virtudes, mandamientos y sacramentos, por D. Joaquín de Eguileta, presbítero: segunda edición. Se bailará con las Dominicas y misterios mas clásicos de Jesucristo y de María Santísima, del mismo autor, en la librería de Barco y compañía, calle</t>
  </si>
  <si>
    <t>de Ehrensward, Barón</t>
  </si>
  <si>
    <t>Barón de Ehrensward</t>
  </si>
  <si>
    <t>udiese tener efecto el objeto de su viage. Igualmente se espera en Carlsruhe al Barón de Ehrensward, Ministro de S. M. Sueca en Paris. GRAN BRETAÑA. Continuación délas noticias de Londres del A de Abril. La gazeta de Ceylan, del 14 de Setiembre último, contiene la gloriosa defensa que hic</t>
  </si>
  <si>
    <t>tenegrinos. Altana 27 de Abril* Se ha recibido en Stockolmo la respuesta que el Barón de Ehrensward, Ministro de S. M. Sueca en Francia, ció á la circular de Mr. Talleyrand; y está firmada el 25 de Marzo. Dice que ,,ha recibido dicha circular relativa á la conspiración tramada por Mr. Dra</t>
  </si>
  <si>
    <t>gen asisten ahora vestidos de uniforme. ' Ha sidoJ nombrado Teniente general ¿1 Barón de Ehrensward , Ministro plenipotenciario de S. M. el Rey de Suecia en París. Ha remitido á la Dieta el Príncipe de Linange-Guntersblum nuevas Quejas con motivo de lo actuado por los tribunales franceses</t>
  </si>
  <si>
    <t>de Engestroen, Barón</t>
  </si>
  <si>
    <t>Barón de Engestroen</t>
  </si>
  <si>
    <t>R. cerca de nuestra corte. En la misma audiencia, presentó siis credeñeialés el Barón de Engestroen, Ministro de Suecia, quien se cree que pasará á Madrid en la primavera próxima, en calidad de Embaxádor sueco. T ALEMANIA. Viena 50 de Noviembre. Se ha hecho la prueba, en uno de nuestros q</t>
  </si>
  <si>
    <t>de Ercilla y Zúñiga, Alonso</t>
  </si>
  <si>
    <t>Alonso de Ercilla y Zúñiga</t>
  </si>
  <si>
    <t>itales. Se vende en la librería de la viuda é hijo de Quiroga, calle de ks Carretas. La Araucana de D. Alonso de Ercilla y Zúñiga: 2 tomos en 8.° Seria ocioso decir nada en quanto al mérito de la obra, por ser tan notorio y conocido de los amantes de la poesía castellana. Se hallará á 13 rs. en rústica y 2 2</t>
  </si>
  <si>
    <t>de Eslava, Francisco Rafael</t>
  </si>
  <si>
    <t>Francisco Rafael de Eslava</t>
  </si>
  <si>
    <t>a: para una Ración de*;l*a Catedral de:Málaga, vacante por niuerte de D» Francisco Panudo Criado, á D. Francisco Rafael de Eslava , Medio-Racionero de eliajly para el Préstamo de S. Morales, Diócesis de Salamanca, á D. Manuel Villalobos , concediéndole permiso para que pueda impetrar de la Santa Sede la corr</t>
  </si>
  <si>
    <t>de Espino y Real, Cayetano María</t>
  </si>
  <si>
    <t>Cayetano María de Espino y Real</t>
  </si>
  <si>
    <t>. Manuel Xuarez Negron; y en el de Voluntarios de Estado al Cadete del de Reales Guardias Españolas D. Cayetano María de Espino y Real. A D. Joaquín Ovalie, Teniente Coronel agregado en el tercer Regimiento del Real Cuerpo de Artillería, ha conferido S. M. la Tenencia de Rey de la plaza de Cartagena. En el Regimi</t>
  </si>
  <si>
    <t>de Espinosa, Pedro</t>
  </si>
  <si>
    <t>Pedro de Espinosa</t>
  </si>
  <si>
    <t>cour: para una Media-Ración de la catedral de Santo Domingo de la Calzada, vacante por promoción de D. Pedro de Espinosa á una Canongía de la catedral dé Huesca, á D. Tomas González Iturralde, Canónigo de la colegial de S. Quirce, diócesis de Burgos: para un Beneficio de la parroquial de Sta. Mam de</t>
  </si>
  <si>
    <t>de Estrada, Joaquín</t>
  </si>
  <si>
    <t>Joaquín de Estrada</t>
  </si>
  <si>
    <t>laga la Sargentía mayor al Capitán de granaderos del de .Extremadura, graduado de Teniente Coronel, D. Joaquín de Estrada. El Rey se ha servido conceder Tenencias en los Regimientos de infantería de León ^Navarra á los Subtenientes D. Manuel Cordero y Don Diego Ponce ; y Subtenencias en los de Valenc</t>
  </si>
  <si>
    <t>de Fierros Jove, Alonso</t>
  </si>
  <si>
    <t>Alonso de Fierros Jove</t>
  </si>
  <si>
    <t>uros de Hungría en el exército austríaco: escritas por él mismo , y' tfadu-.cidas al castellano por D. Alonso de Fierros Jove: 2 tomos en 8.° mayor con 5 ^estampas finas. Esta.obra histórica presenta una lectura no menos útil que entretenida *, pues haciendo relación del héroe desde su nacimiento, trae l</t>
  </si>
  <si>
    <t>de Fluines, Felipe</t>
  </si>
  <si>
    <t>Felipe de Fluines</t>
  </si>
  <si>
    <t>estatos se denunciaron 25,843 rs. 18 mrs., en concepto de corresponder á los herederos ignorados de D. Felipe de Fluines, vecino de Amsterdam, procedidos de las cuentas que este tenia con D. Diego María de Roy, vecino de Xerez de la Frontera, en cuya denuncia dio providencia el Sr. Subdelegado gener</t>
  </si>
  <si>
    <t>de Galardi, Domingo</t>
  </si>
  <si>
    <t>Domingo de Galardi</t>
  </si>
  <si>
    <t>c. Don Felipe Francisco de Aviraneta, de Madrid, remitió por el correo de 2 t de Diciembre ultimo á D. Domingo de Galardi , de la ciudad de S. Sebastian , 3 vales Reales de á 150 pesos de la creación de Setiembre , núms. 165768 , 165971 y 166180, renovados á su favor ; y mediante á no haberlos recibi</t>
  </si>
  <si>
    <t>de Garay la Intendencia, Martín</t>
  </si>
  <si>
    <t>Martín de Garay la Intendencia</t>
  </si>
  <si>
    <t>D. Antonio Abad Ibañez ; y para la de la Seca á D. Ramón Alonso de Soto. Habiendo conferido S. M. á D. Martin de Garay la Intendencia de la provincia de Murcia, ha venido en nombrarle para el Corregimiento de aquella ciudad, que está unido á dicha Intendencia. S. M. se ha servido nombrar para la Vara de Alcalde mayor</t>
  </si>
  <si>
    <t>de Giieines y Horcasitas, Antonio María</t>
  </si>
  <si>
    <t>Antonio María de Giieines y Horcasitas</t>
  </si>
  <si>
    <t>presente mes de Abril falleció en esta corte á los 61 años, 8 meses, 16 dias de edad, el Excmo. Sr. D. Antonio María de Giieines y Horcasitas, Pacheco de Padilla y Aguayo &amp;c. Conde de Revillagigedo y de Giiemes, Barón y Señor territorial de las villas de Benillovzy Ribaroxa, Grande de España, caballero Gran Cruz de la R</t>
  </si>
  <si>
    <t>de Gimbernat, Carlos</t>
  </si>
  <si>
    <t>Carlos de Gimbernat</t>
  </si>
  <si>
    <t>en el despacho de la imprenta Real: su precio 12 rs. en pasta. .Extracto de una. carta dirigida por D. Carlos de Gimbernat, Vice-Director del Real gabinete de historia natural de Madrid, individuo de la. Sociedad linneana de Londres , ■ de Ja de naturalistas de Berlín, y de la mineralógica de Jena &amp;c.</t>
  </si>
  <si>
    <t>de Goertz, Conde</t>
  </si>
  <si>
    <t>Conde de Goertz</t>
  </si>
  <si>
    <t>hubo ayer Dictadura del Imperio, y se leyó en ella una nota muy importante del Conde de Goertz , Ministro de S. M. el Rey de Prusia, acerca de los asuntos de la nobleza inmediata. Después de reterirse á la declaración hecha á la Dieta el 26 de 'Enero,, proponiendo se terminase este as</t>
  </si>
  <si>
    <t>de Gomis, Francisco</t>
  </si>
  <si>
    <t>Francisco de Gomis</t>
  </si>
  <si>
    <t>. En atención á los méritos y servicios personales contraídos en beneficio público y del estado por D. Francisco de Gomis, Familiar de número del Sto. Oficio de la Inquisición del Principado de Cataluña, vecino y del comercio de la ciudad de Barcelona ¿ se ha servido el Rey concederle privilegio de n</t>
  </si>
  <si>
    <t>de Gortari, Fernando</t>
  </si>
  <si>
    <t>Fernando de Gortari</t>
  </si>
  <si>
    <t>, y por la secretaría de dicho venerando tribunal de la Asamblea en esta corte, que está á cargo de D. Fernando de Gortari, en la Cava baxa, casa grande de Garro, á deducir de su derecho en dicho pleyto de ocurrencia de acreedores, con presentación de los documentos que legitimen sus créditos, con ape</t>
  </si>
  <si>
    <t>de Gorvea, Sebastián</t>
  </si>
  <si>
    <t>Sebastián de Gorvea</t>
  </si>
  <si>
    <t>ra el Areedianato de Calatrava, Dignidad de la Sta. Iglesia de Toledo, vacante por fallecimiento de Don Sebastian de Gorvea, á D. Alfonso Aguado Xarava , Obispo de Ara gustópoli, Auxiliar de aquel Arzobispado, Canónigo y Dignidad de Capellán mayor de dicha Iglesia*, para una Canongía de la Catedral de</t>
  </si>
  <si>
    <t>de Govantes, Francisco</t>
  </si>
  <si>
    <t>Francisco de Govantes</t>
  </si>
  <si>
    <t>oncurso de acreedores del Caballero Comendador de Ja de la Higuera la Real, en la propia orden, Fr. D. Francisco de Govantes, se hace saber á todos los acreedores de este, que no hayan comparecido á mostrarse parte en dicho concurso, lo executen dentro del término de io dias, que por último y perentorio</t>
  </si>
  <si>
    <t>de Goycoechea, Ignacio</t>
  </si>
  <si>
    <t>Ignacio de Goycoechea</t>
  </si>
  <si>
    <t>dias, contados desde el de su publicación, á D. Juan Antonio de Sarria, Alcalde de dicha villa, ó á D. Ignacio de Goycoechea, Fiel-Regidor de la referida anteiglesia. Se halla vacante la plaza de Maestra de la escuela de ninas de la villa de Reynosa, obispado de Santander. Las circunstancias que han de</t>
  </si>
  <si>
    <t>de Goyeneche, Joaquín</t>
  </si>
  <si>
    <t>Joaquín de Goyeneche</t>
  </si>
  <si>
    <t>de Cataluña: la del de las Ordenes Militares á su. Sargento mayor ,. graduado de* Teniente Coronel, D. Joaquín dé Goyeneche; y Tenencia en este último* cuerpo al Subteniente de granaderosrD.. Juan de Ahumada. En. América. En el regimiento de in fantería de Buenos- Ayres se ha servido el; Rey- prom &gt;ver</t>
  </si>
  <si>
    <t>de Grand-pre, Carlos</t>
  </si>
  <si>
    <t>Carlos de Grand-pre</t>
  </si>
  <si>
    <t>y i Subtenientes¿¿e bandera los Sargentos primeros D.; Juan Josef Bon y D&gt; Juan Poi^, y los Cadetes Don Cárlos de Grand-pre,D, Antonio Valderasj Dormido Guillermaud y</t>
  </si>
  <si>
    <t>de Guzman y Nolivos, Joaquín</t>
  </si>
  <si>
    <t>Joaquín de Guzman y Nolivos</t>
  </si>
  <si>
    <t>servido nombrar para una Canongía de la Catedral de faca, vacante por muerte de D. Josef Pequera, á D. Joaquín de Guzman y Nolivos, Racionero mas antiguo de ella. El R ey se ha servido conceder en el Regimiento de infantería de la Goror a Tenencias á los Subtenientes D. Isidoro Gil y D. Josef Manjon: en el de</t>
  </si>
  <si>
    <t>de Herce, Vicente</t>
  </si>
  <si>
    <t>Vicente de Herce</t>
  </si>
  <si>
    <t>9J9 D. Bernardino de la Puerta, Prior que era de la referida Colegial de la propia ciudad, á D. Vicente de Herce, con retención de la Dignidad que obtiene de Tesorero de ia referida Colegial. JE1 Rey se ha servido conceder el empleo de Teniente Coronel del regimiento de infantería de Volunta</t>
  </si>
  <si>
    <t>de Herrera, Domingo</t>
  </si>
  <si>
    <t>Domingo de Herrera</t>
  </si>
  <si>
    <t>. Diego Martin Romoj'y para otras dos del número y coro de aquella santa iglesia, para la primera á D. Domingo de Herrera, y para la segunda á Don Narciso González. ' £1 Rey se ha servido conceder Compañía en el regimiento de infan</t>
  </si>
  <si>
    <t>de Higuera, Ramón Antonio</t>
  </si>
  <si>
    <t>Ramón Antonio de Higuera</t>
  </si>
  <si>
    <t>n, á recoger los tomos que les falte; y se halla venal toda la obra, con las adiciones que escribió D. Ramón Antonio de Higuera, en la librería de Llera, plazuela del Angel. Oración fúnebre que en las solemnes exequias, celebradas el día 27 de Junio de este año por la venerable Congregación del Apóstol S.</t>
  </si>
  <si>
    <t>de Hore y Moscoso, Nicolás</t>
  </si>
  <si>
    <t>Nicolás de Hore y Moscoso</t>
  </si>
  <si>
    <t>fallecimiento de D. Antonio de Toro, á D. Josef Eraso y Borunda: para la Ración que dexa en ella á D. Nicolás de Hore y Moscoso; y para la Media-Ración , que este obtenía en la misma, á D. Josef de Orihuela, Cura de Yangaayo, en aquella diócesis : para otra Mediar Ración de la iglesia de Popayan, vacante p</t>
  </si>
  <si>
    <t>de Hore, Francisco</t>
  </si>
  <si>
    <t>Francisco de Hore</t>
  </si>
  <si>
    <t>Artilleros á caballo al Teniente de infantería del primer regimiento del Real cuerpo de Artillería D. Francisco de Hore; y esta resulta al Subteniente D. Josef de Luna. Igualmente ha conferido el Rey la Sargentía mayor del regimiento de caballería de Olivencia, tercero de húsares, al Teniente Coron</t>
  </si>
  <si>
    <t>de Humboidt, Alexandro</t>
  </si>
  <si>
    <t>Alexandro de Humboidt</t>
  </si>
  <si>
    <t>eral en Buda. Se ha publicado una carta que escribe S. M. Prusiana con fecha de 24 del mes último á Mr. Alexandro de Humboidt, que se halla actualmente on París, diciéndole que á pesar del grande deseo que tiene de conocer á un hombre que por el amor de las ciencias se ha expuesto á los mayores trabajos</t>
  </si>
  <si>
    <t>de IaeisvD, Agustín</t>
  </si>
  <si>
    <t>Agustín de IaeisvD</t>
  </si>
  <si>
    <t>to de in fantería de Buenos- Ayres se ha servido el; Rey- prom &gt;ver á.Capitanes á los . A yodantes, D. Agustín de IaeisvD¿ Bernardino Ortega y D* Melchor de la Reynar y¡ ai. Teniente de granaderos Esteban de Liñan^ á Ayudantes á los Tenientes. D; Miguel Quintana, D. Pedro Duran y. D. Mariano Gascón ;</t>
  </si>
  <si>
    <t>de ICempis, Tomás</t>
  </si>
  <si>
    <t>Tomás de ICempis</t>
  </si>
  <si>
    <t>rral. Imitación de Cristo y menosprecio del mundo, compuesto en latín por el V. Tomas de ICempis , Canónigo reglar de S. Agustín , traducido en español por el P. Juan Euscbio Nieremberg, de la Compañía de Jesús, añadidos los Avisos y dictámenes de espíritu y perfección del mismo P. Juan</t>
  </si>
  <si>
    <t>de Irisarri, Jacinto</t>
  </si>
  <si>
    <t>Jacinto de Irisarri</t>
  </si>
  <si>
    <t>onisio García, y al Cadete D. Benigno Aréval¡o,; y en el de Cazadores del Rey á Teniente al Alférez D. Jacinto de Irisarri. El Rey se ha servido conferir ia Tenencia Coronela del regimiento de</t>
  </si>
  <si>
    <t>de Irusta, Juan Antonio</t>
  </si>
  <si>
    <t>Juan Antonio de Irusta</t>
  </si>
  <si>
    <t>to82 próximo pasado, á D. Juan Antonio de Irusta, Teniente mayor y Cura .Ecónomo de la Parroquia de S. Sebastian de esta Corte, con la obligación de precisa residencia personal, y retención de la demas renta eclesiástica que obt</t>
  </si>
  <si>
    <t>de Itucméndi, Andrés Antonio</t>
  </si>
  <si>
    <t>Andrés Antonio de Itucméndi</t>
  </si>
  <si>
    <t>neficio de S. Pedro de Murcia, vacante por muerte de.D. Antonio Motezuma y Roxas, y por dimisión de D. Andrés Antonio de Itucméndi, á quien habia nombrado S. M. por decreto de 27 de Marzo del año próximo pasado , á D. Joaquín</t>
  </si>
  <si>
    <t>de Iturbe, Gabriel</t>
  </si>
  <si>
    <t>Gabriel de Iturbe</t>
  </si>
  <si>
    <t>America, peicibiran allí el div 1dendo baxo las formalidades referidas .ocurriendo en Nueva-Espanaa D Gabriel de Iturbe é Iraeta, vecino de México; en el Pera, al Conde de Fuente González, de Lima; en Buenos-Ay res a D. Martin de Sartatea • v en Manila á los factores de la Compañía. A los accionist</t>
  </si>
  <si>
    <t>de Iturribarría, Pedro Ignacio</t>
  </si>
  <si>
    <t>Pedro Ignacio de Iturribarría</t>
  </si>
  <si>
    <t>^raaiiu Canongía de merced de la catedral de Durango á D. Julián Va^io de Vicente: para su Ración á D. Pedro Ignacio de Iturribarría; y j^jta la Media-Ración de este á D. Simón Santa María, Cura del partido^ ¿S. Antonio de Cuencame en aquella diócesis; y para una Media-Rabión de ia catedral de la Puebla de los</t>
  </si>
  <si>
    <t>de Ivollovrath-Liebsteinsky, Vicente (conde)</t>
  </si>
  <si>
    <t>Conde Vicente de Ivollovrath-Liebsteinsky</t>
  </si>
  <si>
    <t>por el mismo decreto quedan eximidos de la potestad territorial del Elector. Viena y de Febrero. El Conde Vicente de Ivollovrath-Liebsteinsky , Teniente general al servicio de la Austria, ha tenido el honor de presentar, el 25 de Enero, á S. M. sus credenciales en calidad de Ministro plenipotenciario de la orden de Malt</t>
  </si>
  <si>
    <t>de Izaguirre, Francisco</t>
  </si>
  <si>
    <t>Francisco de Izaguirre</t>
  </si>
  <si>
    <t>; y habiendo verificado aquella, y dexado para España ioo acciones , que ha puesto a disposición de D Francisco de Izaguirre , su apoderado general, que vive calle de la Montera,1 num. 28, quarto za para que los que las quieran acudan á él y les manifestará las condiciones con que pueden tomarlas ,y las</t>
  </si>
  <si>
    <t>de Ja Riva, Juan Antonio</t>
  </si>
  <si>
    <t>Juan Antonio de Ja Riva</t>
  </si>
  <si>
    <t>por el Padre M. Gerónimo de Ripalda, añadido con 130 preguntas, con sus respectivas respuestas, por D. Juan Antonio de Ja Riva. Se hallará en la librería de Claros. Discursos filosóficos sobre el hombre. El fin de esta obra es el manifestar al hombre los fundamentos de su felicidad, dividida en cinco disc</t>
  </si>
  <si>
    <t>de Jnguanzo, Juan Antonio</t>
  </si>
  <si>
    <t>Juan Antonio de Jnguanzo</t>
  </si>
  <si>
    <t>a Sota Crespo, en el término de 30 dias contados desde el 7 del corriente. Por la audiencia del Sr. D. Juan Antonio de Jnguanzo, del Consejo de S. M.# Alcalde de su Real Casa y Corte, y escribanía de provincia de D. Manuel López de Ribas, se ha mandado subastar por tercera vez, y término de 15 dias, y seña</t>
  </si>
  <si>
    <t>de Junco, Manuel María</t>
  </si>
  <si>
    <t>Manuel María de Junco</t>
  </si>
  <si>
    <t>drid, en el término de 20 dias contados desde el 1/ del corriente. En virtud de providencia del Sr. D. Manuel María de Junco, del Consejo de S. M., su Alcalde de casa y corte, dada en los autos de testamentaría de D. Antonio Otero, vecino que fgé de esta dicha corte, y natural del lugar y feligresía de</t>
  </si>
  <si>
    <t>la, acuda ante dicho Señor, y citada escribanía. Por providencia de 20 de Noviembre último, del Sr. D. Manuel María de Junco, del Consejo de S. M., Alcalde de su Real Casa y Corte, se ha mandado que las personas que se consideren con derecho al mayorazgo fundado por D. Juan Bautista de Benavente, Tesore</t>
  </si>
  <si>
    <t>de Juncq, Manuel María</t>
  </si>
  <si>
    <t>Manuel María de Juncq</t>
  </si>
  <si>
    <t>ntal de S. Sebastian, tasada en 42,940 rs., que tiene de sitio 545 3§ pies. En la audiencia del Sr. D. Manuel María de Juncq^ del Consejo; de S. M., y Alcalde de su Real casa y corte, y por la escribanía de provincia de D Juan Antonio de Zamacola, penden los autos de abintestato de D. Juan de Arévalo, v</t>
  </si>
  <si>
    <t>de Klupftel, Barón</t>
  </si>
  <si>
    <t>Barón de Klupftel</t>
  </si>
  <si>
    <t>874 Francfort y de Setiembre. Dícese que el Barón de Klupftel, Ministro de Rusia cerca de la Dieta Germánica, partirá antes que vuelvan á empezarse las sesiones de la Dieta. Dícese ademas que ha cesado enteramente la buena inteligencia, que hace largo</t>
  </si>
  <si>
    <t>de Kotchubey, Conde</t>
  </si>
  <si>
    <t>Conde de Kotchubey</t>
  </si>
  <si>
    <t>cés. RUSIA. Peter ¿burgo tj de Ábrit. S. M. I. ha escrito una carta muy fina al Conde de Kotchubey, Ministro de lo Interior , en la qual le manifiesta haber tenido mucha satisfacción por las tareas de la junta de que ha sido Presidente. Habíase creado por órdetk de nuestro amado Monarca</t>
  </si>
  <si>
    <t>de la Barjera, Juan</t>
  </si>
  <si>
    <t>Juan de la Barjera</t>
  </si>
  <si>
    <t>punto de su mañana, en la misma escribanía. Se cita y emplaza al poseedor del mayorazgo fundado por D. Juan de la Barjera, Regidor perpetuo que fué de esta villa de Madrid, para que dentro del término de 15 dias siguientes á esta fecha, comparezca por sí, ó por medio del Procurador , con poder sufici</t>
  </si>
  <si>
    <t>de la Barreda, Pedro</t>
  </si>
  <si>
    <t>Pedro de la Barreda</t>
  </si>
  <si>
    <t>endez Vaides, D. Francisco Quiroga y Osores, D. Manuel Esqúivel y Castañeda , D. Diego Varo Franco, Don Pedro de la Barreda, D. Ignacio Reguera, D. Josef Zorrilla y Ortiz, Don Ignacio Olaeta y Calafát, D. Antonio Martínez y Tacón , D. Rafael Casa so la y ViUa.iba. En 3.a fecha. D; Luis de Córdoba y Pos</t>
  </si>
  <si>
    <t>de la Bórdeta, Pedro</t>
  </si>
  <si>
    <t>Pedro de la Bórdeta</t>
  </si>
  <si>
    <t>a corte fundó Fernando de Segura y Puebla; D. Pedro de Zarate, mercader de joyería en esta villa, y D. Pedro de la Bórdeta, del comercio de ella, no obstante de las exactas diligencias practicadas en su busca é indagación, como de las personas en quienes puedan haber recaido sus derechos, se ha mandad</t>
  </si>
  <si>
    <t>de la Cerda, Joaquín</t>
  </si>
  <si>
    <t>Joaquín de la Cerda</t>
  </si>
  <si>
    <t>menca de Reales GU En'la propia ¡Compañía ha conferido empleo de Exento de número al Supernumerario D. Joaquín de la Cerda, y de Supernumerario al Brigadier D. Pedro Fen-er : de Brigadier al Subngadier D. Maximiliano Vandersteen : de Subrigadier. al Portaestandarte D. Agustín Duboys; v ha nombrado Cad</t>
  </si>
  <si>
    <t>de la Chica, Diego Basilio</t>
  </si>
  <si>
    <t>Diego Basilio de la Chica</t>
  </si>
  <si>
    <t>ntonio Sánchez, y al Teniente de cazadores D. Manuel Perez; á Teniente de cazadores al de fusileros D. Diego Basilio de la Chica ; á Teniente de fusileros ai Subteniente D. Erancisco Guelvenzu; á Subtenientes á los Cadetes D. Tomas Sarasa y D. Juan Sangran, y á Ayudante, con grado de Subteniente, al Sargent</t>
  </si>
  <si>
    <t>de la Cruz de Mó, María</t>
  </si>
  <si>
    <t>María de la Cruz de Mó</t>
  </si>
  <si>
    <t>ina r nuciuma de Módena........................... 1 Juana Jorda....--........... ✓.............. 1 Doña María de la Cruz de Mó~ dena.............................................. * Mariana Jorda D. Gabriel de Módena................. r Francisco Perez María Ana Santa............................. 1 Dos cria</t>
  </si>
  <si>
    <t>de la Cruz, Antonio</t>
  </si>
  <si>
    <t>Antonio de la Cruz</t>
  </si>
  <si>
    <t>tor Guyton-Morveau, miembro del Instituto nacional de Francia y de varias Sociedades, traducido por D. Antonio de la Cruz, primer Ayudante de Farmacia del exércíto, con destino al laboratorio castrense, y Boticario mayor del hospital General y Pasión de esta Corte. Esta obra, que se ha traducido en t</t>
  </si>
  <si>
    <t>de la Cruz, Manuel</t>
  </si>
  <si>
    <t>Manuel de la Cruz</t>
  </si>
  <si>
    <t>llarán en el despacho de la Imprenta Real. Por el correo de 10 del corriente remitió desde Orihuela D. Manuel de la Cruz,. Sargento mayor del Regimiento de Numancia, á D. Manuel Bretón, residente en</t>
  </si>
  <si>
    <t>de la Dueña y Cisneros, Francisco</t>
  </si>
  <si>
    <t>Francisco de la Dueña y Cisneros</t>
  </si>
  <si>
    <t>el limo. Señor D. Gerónimo María de Torres, Obispo de la misma; siendo asistentes los limos. Sres. D. Francisco de la Dueña y Cisneros, Obispo de Urgel, y D. Joaquín Sánchez de Cutánea, Obispo de Huesca, y padrino el venerable Cabildo de la propia catedral, representado por sus comisionados D. Juan Bautista Josa</t>
  </si>
  <si>
    <t>de la Escalera, Joaquín</t>
  </si>
  <si>
    <t>Joaquín de la Escalera</t>
  </si>
  <si>
    <t>ula O-Campo. S. M. se ha servido nombrar para la Vara de Alcalde mayor de la villa de Socuéllamos á D. Joaquin de la Escalera: para la del Quintanar de la Orden á D. Angel del Busto: para la del Tomelloso á D. Josef Antonio Martínez del Corro: para la del Campo de Criptana á D. Gregorio Laredo Gil de Ber</t>
  </si>
  <si>
    <t>de la Fuente, Francisco Xavier</t>
  </si>
  <si>
    <t>Francisco Xavier de la Fuente</t>
  </si>
  <si>
    <t>ia-Ración de la de Cuenca, vacante por ascenso de D. Tomas Minguez á Ración de la propia iglesia ,á D. Francisco Xavier de la Fuente, Cura de Villar del Saz de Navalon, en aquella diócesis. S. M. se ha servido promover en el regimiento de Reales Guardias Españolas á Teniente de granaderos al de fusileros D. Jos</t>
  </si>
  <si>
    <t>de la Fuente, Joaquín</t>
  </si>
  <si>
    <t>Joaquín de la Fuente</t>
  </si>
  <si>
    <t>pañía en el regimiento de caballería del Rey, primero de línea, al Ayudante , graduado de Capitán,' D. Joaquín de la Fuente. &gt; S. M. ha concedido licencia al Concejo de Giieñes, del Señorío! de* Vizcaya, para la celebración de una feria anual desde él día 12 de NoJ viembre hasta el 19 inclusive. Las ci</t>
  </si>
  <si>
    <t>de la Fuente, Juan</t>
  </si>
  <si>
    <t>Juan de la Fuente</t>
  </si>
  <si>
    <t>665 mover á Teniente al Subteniente D. Juan de la Fuente. Igualmente ha nombrado S. M. Ayudante del regimiento de caballería de María Luisa, quinto de húsares, al Capitán D. Joaquín de Vengara , Teniente deL mismo cuerpo. En el Real cue</t>
  </si>
  <si>
    <t>de la Fuente, Manuel</t>
  </si>
  <si>
    <t>Manuel de la Fuente</t>
  </si>
  <si>
    <t>y supremo Consejo de las Indias está mandado se. paguen por el consulado de la ciudad de Sevilla á D. Manuel de la Fuente, vecino de ella, y Capitán retirado, baxo de fianza de acreedor de meior derecho, 109,304 rs. 33 mrs., queje pertenecen por intereses de un crédito, délos conocir dos con el nombr</t>
  </si>
  <si>
    <t>de la Gala, Lucas</t>
  </si>
  <si>
    <t>Lucas de la Gala</t>
  </si>
  <si>
    <t>en de Calatrava, á D. Juan Alvarez de Sotomayor; y para la de Ceclavin, en la orden de Alcántara, á D. Lucas de la Gala, todas de primera clase ó entrada. JEn América. El Rey se ha servido nombrar para la Canongía Magistral de la metropolitana de Guatemala, vacante por promoción de L). Antonio Garc</t>
  </si>
  <si>
    <t>de la Gandara, Miguel</t>
  </si>
  <si>
    <t>Miguel de la Gandara</t>
  </si>
  <si>
    <t>ontrando dignos de lo,s premios en primer lugar á D. Fernando Ruiz de la Prada y Mazo, en segundo á D. Miguel de la Gandara, y en tercero á D. Juan Alonso Ruiz, á los que inmediatamente se les entregó; y habiendo considerado igualmente acreedor á otro premio por su extraordinaria aplicación y habilidad</t>
  </si>
  <si>
    <t>de la Lastra, Francisco</t>
  </si>
  <si>
    <t>Francisco de la Lastra</t>
  </si>
  <si>
    <t>acón, D. Martin de la Quintana, D. Cayetano Picado, Don Francisco Villavicencio, D. Luis de Basave, D. Francisco de la Lastra, D. Felipe Saavedra, D. Josef Melgares, D.. Alonso Ramírez , D. Antonio Osorio, D. Manuel Alyarez, D. Bartolomé Pita Daveyga, D. Luis de los Ríos, D. Francisco Calvo, D. Luis Pere</t>
  </si>
  <si>
    <t>de la Madrid, Tomás</t>
  </si>
  <si>
    <t>Tomás de la Madrid</t>
  </si>
  <si>
    <t>o de Durango é hijo mayor. &gt; En Zamora...... ..... D. Vicente Perez de Tejada. En Zaragoza....... . D. Tomas de la Madrid. En Zeuta............ . D. Pedro Huguet, comisionado subalterno del de Cádiz. Él Consejo, á consulta de la Comisión gubernativa de Consolidación deVaies, y con aprobación deS. M.</t>
  </si>
  <si>
    <t>Francisco Durango é hijo mayor. En Zamora........... D. Vicente Perez de Tejada. En Zaragoza."..". D. Tomas de la Madrid. : ' 4 En Z¿uta...." D. Pedro Huguet , comisionado subalterno del de Cádiz. ■ ■* El Consejo, á consulta de la Comisión gubernativa de Consolidación de Vales, y con aprobación de S</t>
  </si>
  <si>
    <t>de la Moneda, Joaquín</t>
  </si>
  <si>
    <t>Joaquín de la Moneda</t>
  </si>
  <si>
    <t>e aplicará á qualquiera extraña, según lo dispuesto por la testadora. Se desea saber el paradero de D, Joaquin de la Moneda, Teniente de Navio de la Real armada, ó de sus legítimos herederos, caso de haber fallecido aquel, por -teñera su favor una pequeña cantidad de dinero, de quedará razón en Madrid</t>
  </si>
  <si>
    <t>de la Nueva, Antonio</t>
  </si>
  <si>
    <t>Antonio de la Nueva</t>
  </si>
  <si>
    <t>de Ara; ai de igual clase, graduado de Teniente Coronel, D. Francisco de Arce, y al Gefe de brigada D. Antonio de la Nueva. En el Real cuerpo de Ingenieros del exército ha promovido S. M. á Teniente Coronel al Sargento mayor de brigada D. Ramón Lope, graduado de Teniente Coronel. S. M. ha conferido la</t>
  </si>
  <si>
    <t>de la Pedreguerá, Fernando</t>
  </si>
  <si>
    <t>Fernando de la Pedreguerá</t>
  </si>
  <si>
    <t>provincial de las Tres Villas se ha servido el Rey promover á Teniente al Subteniente de granáderos D. Fernando de la Pedreguerá; á Subteniente de granaderos al de fusileros D. Miguel Fernandez; á Subteniente de fusileros al de bandera D. Vicente Prieto, y á Subteniente de bandera ai Cadete D. Josef María J</t>
  </si>
  <si>
    <t>de la Pena, Antonio</t>
  </si>
  <si>
    <t>Antonio de la Pena</t>
  </si>
  <si>
    <t>hizo en la forma siguiente. Iin ia cátedra de economía civil, obtuvieron el premio de primera clase D. Antonio de la Pena, D. Miguel Victorica , D. Andrés Trevilla, D. Ignacio Blanco Hervas, D. Josef Cabeza y D. Josef Bravo Bermudez. El premio de segunda clase le obtuvieron D. Tomas Araujo y D. Franc</t>
  </si>
  <si>
    <t>de la Peña, Antonio</t>
  </si>
  <si>
    <t>Antonio de la Peña</t>
  </si>
  <si>
    <t>ofia sit, qaa snnt necessaria,y cuyo discurso, abierta la carta que le acompañaba , se bailó ser de D. Antonio de la Peña , distinguido ya por la Sociedad en el año anterior con el primer premio de agricultura y de economía civil, y que en el presente se ha hecho de nuevo acreedor á este último. Aunq</t>
  </si>
  <si>
    <t>de la Pera, Pedro</t>
  </si>
  <si>
    <t>Pedro de la Pera</t>
  </si>
  <si>
    <t>y en el batallón de la misma clase de-Puerto-Príncipe ha promovido á Subtenientes á los de bandera D. Pedro de la Pera y D. Josef de Varona, y los Cadetes D. Ma-* nuel Antonio Borrero, D. Miguel Cocio y D. Ubaldo Socorras, y á Subtenientes de bandera á los Cadetes D. Esteban de Varona y D. Miguel de A</t>
  </si>
  <si>
    <t>de la Piedra, Benito</t>
  </si>
  <si>
    <t>Benito de la Piedra</t>
  </si>
  <si>
    <t>..... D. Ramón de Llordella é hijo. En Búrgos............D. Andrés Fray le. En Cdaiz............... D. Benito de la Piedra. En Cartagena........D. Manuel de Ozores. En Ciudad-Real... D. Ramón Antonio Pico. En Córdoba..,.,.,,.. Sres. Barcia padre é hijo. En la Coruña........ D. Manuel Antonio Elzaurdi.</t>
  </si>
  <si>
    <t>.......D. Ramón de Llofdella ¿ hijo. En Burgos........i... D. Andrés Frayle. En Cádiz.............. D. Benito de la Piedra. En Cartagena....... D. Manuel de Ozores. En Ciudad-Real... D. Ramón Antonio Pico. En Córdoba...... . Sres. Barcia padre é hijo. En la Coruña...... D. Manuel Elzaurdi. En Cuenca..</t>
  </si>
  <si>
    <t>.... D. Ramón de Llordeila é hijo. En Btírgos............ D. Andrés Fray le. En Cádiz........ ..... D. Benito de la Piedra. En Cartagena.... Bernardo Eiizalde. En Ciudad-Real... \&gt;. Ramón Antonio Pico. En Córdoba......... Sres. Barcia padre é hijo. En la Cor uña... D. Manuel Elzaurdi. En-Cuenca.......</t>
  </si>
  <si>
    <t>de la Puente, Juan</t>
  </si>
  <si>
    <t>Juan de la Puente</t>
  </si>
  <si>
    <t>Jacobo Quixano; y en los de Extremadura y Ñapóles Subtenencias de bandera á los Sargentos primeros D. Juan de la Puente y D. Pedro Junk. En los regimientos de caballería de línea se ha servido el Rey promover en el de Montesa á Sargento mayor al Capitán del de Alcántara D. Josef de Calzada, graduado de</t>
  </si>
  <si>
    <t>de la Puente, Vicente</t>
  </si>
  <si>
    <t>Vicente de la Puente</t>
  </si>
  <si>
    <t>na de Burgos , vacante por promoción de D. Ignacio Alonso Buigedo ai Árcedianato titular de ella, á D. Vicente de la Puente, Racionero de la misma: para otra de la propia iglesia, por promoción de Don Antonio Villagrasa á una de la de Zaragoza, á D. Martin Ramírez, Capitán de infantería, y Teniente que</t>
  </si>
  <si>
    <t>de la Quadra, Ramón</t>
  </si>
  <si>
    <t>Ramón de la Quadra</t>
  </si>
  <si>
    <t>de Baviera, traducido al castellano por D. C. Herrgen: notas explicativas á este mismo sistema, por D. Ramón de la Quadra. Se hallará, con los anteriores, en ú despacho de la imprenta Real. _______ * Por eEcórreo dé 13 de Setiembre remitió D. Francisco de las Barreras, del co</t>
  </si>
  <si>
    <t>de la Quintana, Martín</t>
  </si>
  <si>
    <t>Martín de la Quintana</t>
  </si>
  <si>
    <t>oller, D. Carlos D’esmarest, D. Diego de la Vega, D. Josef de León, D. Luis Pardo, D. Josef Chacón, D. Martin de la Quintana, D. Cayetano Picado, Don Francisco Villavicencio, D. Luis de Basave, D. Francisco de la Lastra, D. Felipe Saavedra, D. Josef Melgares, D.. Alonso Ramírez , D. Antonio Osorio, D. M</t>
  </si>
  <si>
    <t>de la Riva, Francisco</t>
  </si>
  <si>
    <t>Francisco de la Riva</t>
  </si>
  <si>
    <t>Jas demás asistencias, que a un vecino del pueblo. Los profesores que quieran-pretender acudirán á D. Francisco de la Riva. Robledo, en la calle de: Postas:,, casa de la viuda de Robledo,, ó á- 'dicha villa de- Vttíanueva de Cameros á la Justicia .de ella , dirigiendo sus méínoriaJes por Logroño ó Sor</t>
  </si>
  <si>
    <t>de la Santa, Pedro</t>
  </si>
  <si>
    <t>Pedro de la Santa</t>
  </si>
  <si>
    <t>ral, a D. Domingo González Alonso: para el Beneficio simple de Regla de Corlas por fallecímieruo de D. Pedro de la Santa, y para el de Arles, por muerte de D. Pedro Campo Redondo, ambos en el obispado de Oviedo, á D. Valentín del Rio: para el Beneficio simple servidero de la parroquia de la villa de</t>
  </si>
  <si>
    <t>de la Serna, Fernando</t>
  </si>
  <si>
    <t>Fernando de la Serna</t>
  </si>
  <si>
    <t>z de Hervás, de su Consejo en el Supremo de Hacienda, y su actual Encargado de negocios en París, y D. Fernando de la Serna, su Comisario general de comercio en Francia; pues que el tercer comisionado D. Joaquín de fiarroeta Aldamar ha obtenido de S. M. la exoneración que ha solicitado de su encargo, d</t>
  </si>
  <si>
    <t>de la Soledad Orobio y Orobio, María</t>
  </si>
  <si>
    <t>María de la Soledad Orobio y Orobio</t>
  </si>
  <si>
    <t>úblico» ■. r El dia 3 de este mes falleció en ésta Corte, á los 37 años de su edad, la Exorna. Sra. Doña María de la Soledad Orobio y Orobio, Bravo de Mendoza, Recalde, Espinar, Arias y Davala. ; Marquesa de Paredes,la Lapi11a y Monesterio; Grande de Espáñag&amp;c.. Esta Señora, que llenó los deberes de una buena esposa y</t>
  </si>
  <si>
    <t>de la Sota Crespo, Santiago</t>
  </si>
  <si>
    <t>Santiago de la Sota Crespo</t>
  </si>
  <si>
    <t>s pliegos ó proposiciones se presentarán en la Secretaría de la Real dirección, que está á cargo de D. Santiago de la Sota Crespo, en el término de 30 días , contados desde 16 de este mes. Se halla \racante la plaza de Médico de la villa de Estremera , provincia de Toledo, 9 leguas distante de Madrid: su dot</t>
  </si>
  <si>
    <t>oposiciones, en el término de 20 dias, á Ja Secretaría de Abastos, que está al cargo del Secretario D. Santiago de la Sota Crespo. Variedades de ciencias, literatura y artes, núm. 13, que contiene la conclusión de la descripción de las antiguas minas de Oyarzun ; un artículo sobre el arte de curtir las piele</t>
  </si>
  <si>
    <t>s pliegos ó proposiciones se presentarán en la Secretaría de la Real Dirección, que está á cargo de D. Santiago de la Sota Crespo, en el término de 30 dias contados desde el 7 del corriente. Por la audiencia del Sr. D. Juan Antonio de Jnguanzo, del Consejo de S. M.# Alcalde de su Real Casa y Corte, y escriba</t>
  </si>
  <si>
    <t>de la Torré y Cárdenas, Manuel</t>
  </si>
  <si>
    <t>Manuel de la Torré y Cárdenas</t>
  </si>
  <si>
    <t>D. Miguel Juste y D. Esteban López, Sargento.primero de granaderos, y Cadete del mismo cuerpo, y á D. Manuel de la Torré y Cárdenas, Cadete del regimiento de infantería de la Havana; é igual empleo en el batallón de Voluntarios de Gerona al Sargento primero D. Francisco Moliné. S. M. se ha servido conceder en</t>
  </si>
  <si>
    <t>de la Torre, Antonio</t>
  </si>
  <si>
    <t>Antonio de la Torre</t>
  </si>
  <si>
    <t>ros D. Francisco Ribera y D. Juan de Castro Palomino; y á Subtenientes de compañía á los de bandera D. Antonio de la Torre, D. Francisco Valera y D. Carlos Laureut. El Rey se ha servido nombrar Sargento mayor del regimiento de dragones Provinciales del Príncipe,.en Nueva-España, á D. Vicente Barros, q</t>
  </si>
  <si>
    <t>de la Torre, Vicente</t>
  </si>
  <si>
    <t>Vicente de la Torre</t>
  </si>
  <si>
    <t>as,'Racionero mas antiguo de ella; y para una Ración de la Catedral de Osma, vacante por iñuerte de D. Vicente de la Torre , á D. Juan Antonio Encabo, Racionero mas antiguo de la Colegial de S. Pedro de la ciudad de Soria , y Cura Párroco de ella. r ;;S. M. se ha servido nombrar para la Canongía que e</t>
  </si>
  <si>
    <t>El Re;y se ha servido nombrar para una Ración de la Catedral de Osma, vacante por fallecimiento de D. Vicente de la Torre, á D. Manuel Ramírez, Racionero de la Colegial de Roa, en aquella Diócesi: para una Canongía de la Colegial de S. Quirce , en el Arzobispado de Burgos, vacante por muerte de D. Ju</t>
  </si>
  <si>
    <t>de la Vega Camptnean, Juan</t>
  </si>
  <si>
    <t>Juan de la Vega Camptnean</t>
  </si>
  <si>
    <t>ssí’ana. • . / ’ -1 í í i\ Sevilla &lt;4 de . Enero, r- . L ■ j ■M El domingo 27 de Noviembre de ¿1803 D. Juan de la Vega Camptnean^,</t>
  </si>
  <si>
    <t>de la Vega, Diego</t>
  </si>
  <si>
    <t>Diego de la Vega</t>
  </si>
  <si>
    <t>Navio los de Fragata' D. Juan Patricio Fournier, D. Luis Pedro Broysgroller, D. Carlos D’esmarest, D. Diego de la Vega, D. Josef de León, D. Luis Pardo, D. Josef Chacón, D. Martin de la Quintana, D. Cayetano Picado, Don Francisco Villavicencio, D. Luis de Basave, D. Francisco de la Lastra, D. Feli</t>
  </si>
  <si>
    <t>de la Vega, Nicolás</t>
  </si>
  <si>
    <t>Nicolás de la Vega</t>
  </si>
  <si>
    <t>nuel de Cañas, D. Josef del Castillo, D. Manuel de Palacio^11). JAcanta Romarate, D. Josef Corones, D. Nicolás de la Vega, D/MamutE Lasqucti, D. Ramón Rato, Don Roque Diaz,D. Miguel Daza,D. Diegf ]fadara,D. RamónTrullol, Don Juan Olaegui, D. Víctor Vinader, D.,.Vicente de Lago, D. Pedro Landazuri, D.</t>
  </si>
  <si>
    <t>de Lagraña, Joaquín</t>
  </si>
  <si>
    <t>Joaquín de Lagraña</t>
  </si>
  <si>
    <t>sis: para una Ración de la de Quito, vadeante por haberla renunciado D&lt; Miguel Gomez de la Peña , á D. Joaquín de Lagraña; y para.la Media, que este dexa- á. D. Jósef Gabriel Ba¿tallas, Présbftero en el propió obispado. En el regimiento de infantería de México se ha servido S. M. promover á Teniente</t>
  </si>
  <si>
    <t>de Lamadriz, Francisco Xavier</t>
  </si>
  <si>
    <t>Francisco Xavier de Lamadriz</t>
  </si>
  <si>
    <t>re, Comandante del tercer batallón, y esta resulta al Sargento mayor, graduado de Teniente Coronel, D. Francisco Xavier de Lamadriz. En el misino cuerpo ha promovido á Capitanes á los Tenientes D. Antonio Branly, de granaderos, y D. Pedro Santacilia, Ayudante: á la resulta de este al Teniente de granaderos D.</t>
  </si>
  <si>
    <t>de Lambertz, Henrique Antonio</t>
  </si>
  <si>
    <t>Henrique Antonio de Lambertz</t>
  </si>
  <si>
    <t>e Reales Guardias de infantería Walona se ha servido el Rey promover á segundos Ayudantes mayores á D. Henrique Antonio de Lambertz y D. Manuel de Montalvo, Alféreces del mismo Cuerpo. El Rey se ha servido nombrar Guarda-Almacenes ordinarios de Artillería á los Contralores reformados D. Julián Forcada y D. Tomas S</t>
  </si>
  <si>
    <t>de Lamí, Martín Bautista</t>
  </si>
  <si>
    <t>Martín Bautista de Lamí</t>
  </si>
  <si>
    <t>de Varones ilustres: quaderno 16, que contiene los retratos y epítomes de Fr. Juan de Jesús María, D. Martin Bautista de Lamí</t>
  </si>
  <si>
    <t>de Laooizqueta, Juan Agustín</t>
  </si>
  <si>
    <t>Juan Agustín de Laooizqueta</t>
  </si>
  <si>
    <t>gía de merced d-e la colegiata de Nt-ra. Sra. de Guadalupe de México, vacante por fallecí miento ée D. Juan Agustín de Laooizqueta, a D. Josef María de Gamboa, Cura en aquel arzobispado. Asimismo se ha servido S. M. nombrar para la plaza de Fiscal del Consejo y Cámara de Indias , por lo perteneciente al Perú,</t>
  </si>
  <si>
    <t>de Lara, Agustín</t>
  </si>
  <si>
    <t>Agustín de Lara</t>
  </si>
  <si>
    <t>ento de infantería de León al Capitán de granaderos del mismo Cuerpo, graduado de Teniente Coronel, D. Agustín de Lara: la Sargentía mayor del de América ai Capitán del de Sevilla, graduado de Teniente Coronel , Don Josef de Velasco: Tenencias en el mismo Cuerpo á los Subtenientes Don Francisco Ba</t>
  </si>
  <si>
    <t>de las Barreras, Francisco</t>
  </si>
  <si>
    <t>Francisco de las Barreras</t>
  </si>
  <si>
    <t>os anteriores, en ú despacho de la imprenta Real. _______ * Por eEcórreo dé 13 de Setiembre remitió D. Francisco de las Barreras, del co</t>
  </si>
  <si>
    <t>de las Muelas, Alexo Marcos</t>
  </si>
  <si>
    <t>Alexo Marcos de las Muelas</t>
  </si>
  <si>
    <t>á Subtenientes de bandera de los de Laredo, Sigtienza y Ecija á D. Bernardino González de Agüero , D. Alexo Marcos de las Muelas, y D. Bernabé María Canelo y- Benitez., El Rey se ha servido nombrar para una plaza del Consejo Real, vacante por fallecimiento del Timo. .Sr. Marques de la Hinojosa, al Sr. Don T</t>
  </si>
  <si>
    <t>Cristóbal Villalobos: Subtenientes de granaderos de los de Sigiienza y Bétanzos á los de fusileros D. Alexo Marcos de las Muelas y D. Ramón Caruncho; y Subtenientes de bandera de los de Segóvia, Cuenca y Plasencia á D. Matías de Soldevielia y Yanguas, D. Pedro Casábete y Zamora y D. Francisco Breña Mateos. ■ En</t>
  </si>
  <si>
    <t>de Latas y Lasaia, Ramón</t>
  </si>
  <si>
    <t>Ramón de Latas y Lasaia</t>
  </si>
  <si>
    <t>Rey se ha dignado nombrar á Tenientes en el regimiento de infantería de Mallorca á los Subtenientes D. Ramón de Latas y Lasaia, de granaderos, y D. Josef Bermudez de Castro: en el Suizo de Traxler al Subteniente de granaderos D. Juan Wcis; y ervel batallen de Voluntarios de Navarra al Subteniente, graduad</t>
  </si>
  <si>
    <t>de León y Moya, Bernardo</t>
  </si>
  <si>
    <t>Bernardo de León y Moya</t>
  </si>
  <si>
    <t>a servido conceder Subtenencias de bandera en el regimiento de infantería de Hibernia á los Cadetes D. Bernardo de León y Moya y D. Andrés Rodríguez; y en el de América al Sargento primero de granaderos D. Plácido Hernández. En los regimientos de caballería de España y Algarbe, octavo y noveno de línea, se ha</t>
  </si>
  <si>
    <t>de Ley, Francisco</t>
  </si>
  <si>
    <t>Francisco de Ley</t>
  </si>
  <si>
    <t>Juan García Paredes y D. Manuel Arnaiz; y á Capitanes primeros á los segundos D. Francisco del Mazo,D. Francisco de Ley va y D. Vicente Ferrandez. En el Real cuerpo de Ingenieros del exército ha promovido S. M. á Capitanes primeros á IX Luis Valanzat, D. Juan Palomino y D. Nazareo de Egeia, Capitan</t>
  </si>
  <si>
    <t>de Llagúno, Antonio</t>
  </si>
  <si>
    <t>Antonio de Llagúno</t>
  </si>
  <si>
    <t>orden .superior en el Departamento del Fomento general del Reyno y .df-la Balanza de comercio, por D. Antonio de Llagúno» Se hallará á 5 rs. en el despacho de la imprenta Real. Carta de Armida á Rey nal &lt;Jo, escrita en francés por Colardéau, heróida 4.* de la colección que se está publicando. El aut</t>
  </si>
  <si>
    <t>de Llamas, MigueL</t>
  </si>
  <si>
    <t>MigueL de Llamas</t>
  </si>
  <si>
    <t>a el Gobierno militar y pólítico';dé la isla y plaza de Ibizaba nombrado el Rey al Teniente Córonel D. MigueL de Llamas, Gobernador dél 'castillo de Benasque; y para esta resulta alTeniente CoroneL Marques de Villora, Alférez del regimiento de Guardias de infantería Walona. El Mercurio de España de</t>
  </si>
  <si>
    <t>de Llofdella, Ramón</t>
  </si>
  <si>
    <t>Ramón de Llofdella</t>
  </si>
  <si>
    <t>.... D. Fernando Echepare y sobrinos* En Badajoz.^.'......D. Tomas Merino Ortiz. En Barcelona.......D. Ramón de Llofdella ¿ hijo. En Burgos........i... D. Andrés Frayle. En Cádiz.............. D. Benito de la Piedra. En Cartagena....... D. Manuel de Ozores. En Ciudad-Real... D. Ramón Antonio Pico. En</t>
  </si>
  <si>
    <t>de Llordeila, Ramón</t>
  </si>
  <si>
    <t>Ramón de Llordeila</t>
  </si>
  <si>
    <t>rinos. , En Badajoz.......... D. Francisco Fernandez de la Peña y de S. Miguel, En Barcelona....... D. Ramón de Llordeila é hijo. En Btírgos............ D. Andrés Fray le. En Cádiz........ ..... D. Benito de la Piedra. En Cartagena.... Bernardo Eiizalde. En Ciudad-Real... \&gt;. Ramón Antonio Pico. En C</t>
  </si>
  <si>
    <t>de Llordella, Ramón</t>
  </si>
  <si>
    <t>Ramón de Llordella</t>
  </si>
  <si>
    <t>.. D. Fernando Echepare y sobrinos. En Badajoz...........D. Tomas Merino Ortiz. En Barcelona....... D. Ramón de Llordella é hijo. En Búrgos............D. Andrés Fray le. En Cdaiz............... D. Benito de la Piedra. En Cartagena........D. Manuel de Ozores. En Ciudad-Real... D. Ramón Antonio Pico. E</t>
  </si>
  <si>
    <t>de Lobo, Rafael</t>
  </si>
  <si>
    <t>Rafael de Lobo</t>
  </si>
  <si>
    <t>D. Josef Delgado, D. Joaquín Miaño, Don Diego Ponce de León, D. Nicolás Rubín, D. Joaquin Sánchez, D. Rafael de Lobo, D. Francisco Leceta, D. Manuel Ocarol, Dv x\ntonio Magadan, D. Norberto de Mella, D. Juan de Bnstamante, D. Joaquin del Pollo Sagasti, D. Pedro Negréte, D. Manuel Abreü , D. Igna</t>
  </si>
  <si>
    <t>de Lodron, Conde</t>
  </si>
  <si>
    <t>Conde de Lodron</t>
  </si>
  <si>
    <t>Stadion, quien se halla en camino para Viena. También ha salido de Stockoimo el Conde de Lodron, Ministro del Emperador. El Conde de Rasoumousky, Embaxador Ruso en Viena, pasará el invierno en Ñapóles. El Ministro Ingles en Viena ha tenido varias conferencias conMr. de Cobentzel ; per</t>
  </si>
  <si>
    <t>de Lomas, Antonio María</t>
  </si>
  <si>
    <t>Antonio María de Lomas</t>
  </si>
  <si>
    <t>f Fernandez Quevedo: para el de la de Loxa á D. Ignacio Mariano de Mendoza: para el de la de Jaén á D. Antonio María de Lomas: para la vara de Alcalde mayor de las nuevas poblaciones de Sierramorena á D. Josef María Otero: para la de Alcalde-mayor , segundo de la ciudad de Córdoba, á D. Josef Omulrian: p</t>
  </si>
  <si>
    <t>de Lorieri, Felipe</t>
  </si>
  <si>
    <t>Felipe de Lorieri</t>
  </si>
  <si>
    <t>da: á Cadete de número al Supernumerario D. Francisco Carrero; y á Cadete Supernumerario al Guardia D. Felipe de Lorieri; y en la Compañía Italiana á Cadete Supernumerario al Guardia D. Fernando Butrón. S. M. se ha servido conferir la Tenencia Coronela del Regimiento de infantería de Soria al Corone</t>
  </si>
  <si>
    <t>de Lorza, Joaquín</t>
  </si>
  <si>
    <t>Joaquín de Lorza</t>
  </si>
  <si>
    <t>on del obispado de Quito; á D. Manuel Novales Ancostrena , Dean que fué de Lugo; á Jos herederos de D. Joaquín de Lorza ; á los dé D. Pedro Libarona, y á los de Doña Mariana Mendez, vecina ..deQuito, para que en término de un año, perentorio y .preciso, contado desde la .publicación de este aviso,"</t>
  </si>
  <si>
    <t>de los Arcos, Miguel</t>
  </si>
  <si>
    <t>Miguel de los Arcos</t>
  </si>
  <si>
    <t>n América. El Rey se ha servido nombrar para la Dignidad de Arcediano de la catedral del Paraguay á D. Miguel de los Arcos: para la Chantríaque dexa al Canónigo D. Josef Baltasar Casasus: para la Tesorería á D. Juan Bautista Quin de Baldovinos, también Canónigo de éíla; y para estas Canongías á D. Mig</t>
  </si>
  <si>
    <t>de los Dolores Vizcay, María</t>
  </si>
  <si>
    <t>María de los Dolores Vizcay</t>
  </si>
  <si>
    <t>paros de una casa, sita en esta corte, calle de los Prec.ados, mim. &lt;5, manz. 38z, paros cíe 11 ’ e Doña María de los Dolores Vizcay, tasados en 9 IToP9 rs'ouien qubiere hacer postura, acuda en término de 15 dias, contados desde c de! corriente , ante dicho Sr. Teniente y esenbama del numero de D Tomas de lanch</t>
  </si>
  <si>
    <t>de los Reyes, Sebastián</t>
  </si>
  <si>
    <t>Sebastián de los Reyes</t>
  </si>
  <si>
    <t>e, por comisión del supremo Consejo, á quien se dedicáron. Abrió el acto el primer dia el discípulo D. Sebastian de los Reyes, con un discurso de memoria sobre el verdadero método de enseñar estas dos lenguas: en seguida fueron examinados todos los discípulos, dando razón de ta gramática general de las l</t>
  </si>
  <si>
    <t>de los Ríos, Luis</t>
  </si>
  <si>
    <t>Luis de los Ríos</t>
  </si>
  <si>
    <t>imer año. i.°’: D. Joaqnin Cavada: Observaciones y viages de D. Jorge Juan , 5 tomos en folio. 2.0: D. Luis de los Ríos: Bails, Elementos de matemáticas, 3 tomos en 4.0 Accessit: D. Joaquín Villavicencio García: Elementos de matemáticas, 2 tomos en 8.°__ Matemáticas, 2.0 año. i.°: D. Juan de Salaza</t>
  </si>
  <si>
    <t>sef Melgares, D.. Alonso Ramírez , D. Antonio Osorio, D. Manuel Alyarez, D. Bartolomé Pita Daveyga, D. Luis de los Ríos, D. Francisco Calvo, D. Luis Perez del Camino, D. Gonzalo Gómez, D. Antonio Quintano, D. Josef Montaibo, D. Pedro García, Don j» an de San Llórente, D. Manuel Pardo Rivadeneyra, D</t>
  </si>
  <si>
    <t>de los Ríos, Manuel</t>
  </si>
  <si>
    <t>Manuel de los Ríos</t>
  </si>
  <si>
    <t>cesárea, que executó con lá mayoT destreza el Cirujano titular del Cabildo y hospital de S. Antonio D. Manuel de los Ríos, extrayendo un niño, que fue bautizado por el mismo Presbítero á presencia de varias gentes con general aplauso, y luego después murió. Jeten 8 de Noviembre. El 4 del corriente, d</t>
  </si>
  <si>
    <t>de Luifa, Ramón</t>
  </si>
  <si>
    <t>Ramón de Luifa</t>
  </si>
  <si>
    <t>D. Joaquín de Santistéban; y en el de Navarra al Sargento primero del Real de Zapadores- Minadores D. Ramón de Luifa. S. M. se ha servido conferir el regimiento de infantería Suizo , vacante, de Schwaller, al Teniente Coronet D. Luis Wimpffen, Sargento mayor del mismo : el empleo de Capitán prim</t>
  </si>
  <si>
    <t>de Luna, Rafael</t>
  </si>
  <si>
    <t>Rafael de Luna</t>
  </si>
  <si>
    <t>. Joaquín de Arce y D. Francisco Perez de Grandallana. A Tenientes de Fragata ¿h Alféreces de Navio D. Rafael de Luna, que era graduado;, I). Santiago Echapparret, Don Cárlos Mauduit, D. Manuel Zulaetai) IK Antonio Berraondo, D. Juan del Busto, D. Josef Quiroga, D. Dieggo* Venegas, D. Ventura Gut</t>
  </si>
  <si>
    <t>de Luna, Santiago</t>
  </si>
  <si>
    <t>Santiago de Luna</t>
  </si>
  <si>
    <t>graduado de Teniente Coronel, y D. Federico Garcen de Sanjust: á Capitanes primeros á los segundos D. Santiago de Luna, D. Josef de la Concha, D. Florencio dfe, Areizaga y D. Cayetano de Ribas, el primero, segundo y quarto Ayudantes :á este empleo á los Capitanes segundos D. Francisco Valderrama,</t>
  </si>
  <si>
    <t>de Mahlsburg, Barón</t>
  </si>
  <si>
    <t>Barón de Mahlsburg</t>
  </si>
  <si>
    <t>én; eL Barón de Steube, Ministro plenipotenciario del Elector de Wurtemberg; el Barón de Mahlsburg , Ministro plenipotenciario del Elector de Hesse-Casel; Mr. 'Ferreri, Ministro plenipotenciario y Enviado extraordinario de la República ligústica; Mr. de Maiilardoz, Enviado extraordinario</t>
  </si>
  <si>
    <t>de Mareos, Simón</t>
  </si>
  <si>
    <t>Simón de Mareos</t>
  </si>
  <si>
    <t>ias en el mismo Cuerpo, en el del Rey y en el de la Princesa á los Sargentos primeros D. Juan Tena, D. Simón de Mareos y D. Vicente GH; y en los de la Reyna, Valencia y Murcia á los Cadetes D. Ramón Cota, D. Francisco Menor López, D. Ramón Llola&amp;bregat y D- Joaquín de Eguia, este último del de Volunta</t>
  </si>
  <si>
    <t>de Maribenito, Andrés</t>
  </si>
  <si>
    <t>Andrés de Maribenito</t>
  </si>
  <si>
    <t>resno, linde á oriente con tierra que administra D. Diego Ortiz, á mediodia con Andrés dé Maribenito, vecino'de Daganzo, á poniente Juan López Recio, y á la sierra el'camino de Fresno , á 200 rs. Otra en «el campo, de 2 fan. y 6 cel., linde á oriente Jbsef López Mana, a mediodia la capil</t>
  </si>
  <si>
    <t>de Marín, Francisco</t>
  </si>
  <si>
    <t>Francisco de Marín</t>
  </si>
  <si>
    <t>Febrero inmediato. : Darrigue? ( que se cree filé del comercio de Bilbao) ó sus herederos acudan á D. Francisco de Marín-/, librero:en dicha villa, qüien les dara razón de unos reales que tienen, que .percibir de tica testamentaria. ____ _ ....... __ Los subscriptores á I*■ óbra intitulada 'tratado e</t>
  </si>
  <si>
    <t>de Masquiaran, Henrique</t>
  </si>
  <si>
    <t>Henrique de Masquiaran</t>
  </si>
  <si>
    <t>ogía de. la lengua bascongada &amp;c.. . . Por el correo del día 24 de Diciembre:próximo pasado remitió D. Henrique de Masquiaran , vecino de la villa de.BilbaoD. Andrés: Fernandez Diez, dé Zamora,, en un pliego rotulado al misino, D: Andrés, 19 vales Reales,, endosados á este por dicho Masquiaran el.día 13</t>
  </si>
  <si>
    <t>de Mata Araujo, Luis</t>
  </si>
  <si>
    <t>Luis de Mata Araujo</t>
  </si>
  <si>
    <t>9 de Diciembre próximo pasado celebró el primer examen de gramática castellana y latina el profesor D. Luis de Mata Araujo en su casa calle del Caballero de Gracia, num. 37. Presidió el certamen el Sr. D. Josef Marquina y Galindo , del Consejo de $. M., Alcalde decano de su Real casa y corte , por comis</t>
  </si>
  <si>
    <t>os de gramática castellana y latina en el convento de Señoras Comendadoras de Calatrava el profesor D. Luis de Mata Araujo, que vive en la calle del Caballero de Gracia. Presidió estos exercicios el Sr. D. Mariano Alonso, del Consejo de S. M., Alcalde de su Real casa y corte, por comisión del supremo</t>
  </si>
  <si>
    <t>de Mata Parada y Pardo, Juan</t>
  </si>
  <si>
    <t>Juan de Mata Parada y Pardo</t>
  </si>
  <si>
    <t>l Medio-Préstamo de Rielves, en el arzobispado de Toledo , por muerte de D. Juan Antonio Cutanda, á D. Juan de Mata Parada y Pardo. También ha nombrado S.M. para una Canongía de la colegial deSantaFe, en el arzobispado de Granada , á D. Josef Antonio de los Riost para una Capellanía de Señores Reyes nuevos de</t>
  </si>
  <si>
    <t>de Melgar, Juan María</t>
  </si>
  <si>
    <t>Juan María de Melgar</t>
  </si>
  <si>
    <t>de Bujalance al Subteniente de fusileros D. Juan Josef de Lara; y la de bandera del mismo Cuerpo á D. Juan María de Melgar. El Rey se ha servido nombrar á D. Andrés de Subiza para una plaza de Alcalde del Crimen de la Real Audiencia deCátaluña, vacante por promoción de D. Rafael de Urbina á Oidor de l</t>
  </si>
  <si>
    <t>de Mella, Antonio</t>
  </si>
  <si>
    <t>Antonio de Mella</t>
  </si>
  <si>
    <t>le, D. Gerónimo Obregon y Villa, D. Joaquín Tosquella y Monserrat, D. Jayme Fabregues y Santander , D. Antonio de Mella, D. Juan Novoa y Gayoso , D. Toribio Salcedo, D Francisco García Fiorez , D. Tomas Cervino, D, Josef Muller, D. Francisco Viana y Achucarro, D. Antonio Doral y Anuncibay. El Rey s</t>
  </si>
  <si>
    <t>de Menaut, Manuel</t>
  </si>
  <si>
    <t>Manuel de Menaut</t>
  </si>
  <si>
    <t>Arequipa vacante por promoción de D. Juan Josef Manrique á la. Dignidad de T¿esorero de la misma, á D. Manuel de Menaut, Cura de aouella diócesis: para una Ración de la de Quito, vadeante por haberla renunciado D&lt; Miguel Gomez de la Peña , á D. Joaquín de Lagraña; y para.la Media, que este dexa- á.</t>
  </si>
  <si>
    <t>de Mendoza, Manuel</t>
  </si>
  <si>
    <t>Manuel de Mendoza</t>
  </si>
  <si>
    <t>ha servido conferir en el Regimiento de infantería de América Compartías al Teniente de granaderos D. Manuel de Mendoza, y al Ayudante D. Agu.ctin de Alfaraz, ámbos graduados de Capitán: Tenencias i los Subtenientes D. Heraciio Aiaiz y D. Eugenio Delgado; y Subtenencia de bandera al Sargento primer</t>
  </si>
  <si>
    <t>de Mendoza, María</t>
  </si>
  <si>
    <t>María de Mendoza</t>
  </si>
  <si>
    <t>o por D. Juan Bautista de Benavente, Tesorero general que fué del Real Consejo de las Ordenes, y de Doña María de Mendoza su muger, de que fué último poseedor D. Francisco de Paula Chamizo, Marques de Montemorana, vecino de la ciudad de Lucena, acudan por su audiencia, y escribanía de provincia de D.</t>
  </si>
  <si>
    <t>de Mendoza, Martín</t>
  </si>
  <si>
    <t>Martín de Mendoza</t>
  </si>
  <si>
    <t>Topete, D. Manuel del Castillo, D. Vicente María Saavedra, D. Miguel Montemayor, D. Antonio Ausejo, D. Martin de Mendoza, D. Felipe Ibargiien, D. Francisco Solís, D. Josef Pasalagua, D. Diego de Aguirre, D. Vicente Climent, D. Juan Albornoz, D. Joaquin de Toledo, D. Joaquin Leones, D. Julián Leones,</t>
  </si>
  <si>
    <t>de Milla Cueliar, Ramón</t>
  </si>
  <si>
    <t>Ramón de Milla Cueliar</t>
  </si>
  <si>
    <t>anté el Sr. D. Manuel Vicente Torres, Teniente Corregidor de esta villa, y escribanía numeraria de D. Ramón de Milla Cueliar. . _-.■■■ « A voluntad de su dueño se vende en la villa de Arganda una casa, sita eri la calle de los Huertos / lindé debía dé Tós-Herederos de Bartólómé'Pastar,‘que tiene de siti</t>
  </si>
  <si>
    <t>axo los pactos que se han avisado al público, acuda á dicho Sr. Teniente, y escribanía de número de D. Ramón de Milla Cueliar.......... .... Memorial literario, núm. : contiene el extracto analítico del tomo 12 del</t>
  </si>
  <si>
    <t>de Milla Cuellar, Ramón</t>
  </si>
  <si>
    <t>Ramón de Milla Cuellar</t>
  </si>
  <si>
    <t>ura acuda ante el mismo Señor y escribanía. Por providencia del mismo Sr. Teniente, y escribanía de D. Ramón de Milla Cuellar, se ha mandado sacar á pública subasta una hacienda de labor, titulada de Eulogio y Congosto, en el término de Vaciamadrid-, compuesta de varios pedazos de tierras de labor, viñed</t>
  </si>
  <si>
    <t>Torres, del Consejo de S.M., Teniente Corregidor primero de esta villa, y escribanía del número de D. Ramón de Milla Cuellar, se ha señalado el viérnes 15 de Junio próximo, á las puertas de la audiencia de S. S., de doce á una de su mañana, para el remate de una hacienda de labor, titulada de Eulogio y</t>
  </si>
  <si>
    <t>del Consejo de S. M., primer Teniente Corregidor de esta villa , y por la escribanía del número de D. Ramón de Milla Cuellar, el día 10 del corriente, de doce á una de su mañana, á las puertas de la audiencia de su Señoría. Quien quisiere hacer postura hasta dicho diá, con calidad de que no sea en ménos</t>
  </si>
  <si>
    <t>eren hacer postura á las referidas casas, acudan ante dicho Sr. Teniente y escribanía del número de D. Ramón de Milla Cuellar, donde se les manifestarán los planes. i :Por la audiencia de dicho Sr. Teniente Corregidor, y escribanía del número de</t>
  </si>
  <si>
    <t>corriente del Sr. D. Manuel Vicente Torres, primer Teniente Corregidor, y escribanía del número de D. Ramón de Milla Cuellar, se ha señalado para el remate de la casa,plazuela de Matute,núm. 12 , manz. 224, perteneciente á la congregación de S. Ignacio de Loyola, el martes n del presente, á las puertas</t>
  </si>
  <si>
    <t>de Milla Cuellár, Ramón</t>
  </si>
  <si>
    <t>Ramón de Milla Cuellár</t>
  </si>
  <si>
    <t>lla, el 3 del presente, de doce á una de su mañana, en las puertas de la audiencia de S. S., y ante D. Ramón de Milla Cuellár. Quien quisiere hacer mejora, acuda ante dicho Señor y por la citada Escribanía. Con Real facultad se venden, en término de la ciudad de Badajoz, las suertes de dehesa siguientes:</t>
  </si>
  <si>
    <t>2 del cor/iente, y hora de doce á una de su mañana, en las puertas de la audiencia de S. S., y ante D. Ramón de Milla Cuellar, Escribano del número de ella. Por providencia del Sr. D. Torquato Antonio Collado, del Consejo de S. M., Teniente Corregidor de esta villa, se ha mandado sacar nuevamente á públi</t>
  </si>
  <si>
    <t>Antonio Collado, del Consejo de S. M., Teniente Corregidor de esta villa, y escribanía numeraria de D. Ramón de Milla Cuellar. Habiéndose publicado para la mejora del quarto la casa sita en las calles del</t>
  </si>
  <si>
    <t>cente de Torres, delConsejo de S. M., Teniente Corregidor de esta villa, y escribanía del número de D. Ramón de Milla Cuellar, el viérnes 16 del corriente á las puertas de la audiencia de S. S., y hora de doce á una de su mañana. Quien quisiere hacer postura á una casa mesón ó parador, sita en la calle R</t>
  </si>
  <si>
    <t>Escribano de su número D. CJaud io Sanz. zzz Por el mismo Sr. Teniente, y escribanía del numeró^de D, Ramón de Milla Cuellar, se ha señalado el dia 12 del corriente, á las puertas cíe la audiencia de S. S., y hora de doce á una de su mañana, para el remate de las casas sitas en esta Corte en Jas calles</t>
  </si>
  <si>
    <t>de Milla Cyellar, Ramón</t>
  </si>
  <si>
    <t>Ramón de Milla Cyellar</t>
  </si>
  <si>
    <t>isiere Jia.cer la indicada mejora del quarto á cualquiera dé'dichas casas, acuda 4 la escribanía de D. Ramón de Milla Cyellar, con prevención de que el término de los 30 dias empieza á correr desde el 9 del corriente. - El Sr. Marques de Casa-García, del Consejo de S. M. en el Supremo de Castilla, Juez e</t>
  </si>
  <si>
    <t>de Mocenigo, Conde</t>
  </si>
  <si>
    <t>Conde de Mocenigo</t>
  </si>
  <si>
    <t>la República. La elección fue generalmente aplaudida, y de la satisfacción del Conde de Mocenigo, Ministro plenipotenciario ruso , quien la comunicó en el momento al Presidente de la legislatura. La dignidad de Príncipe, primer magistrado de la República, recayó en el Conde Antonio Com</t>
  </si>
  <si>
    <t>de Módena, Gabriel</t>
  </si>
  <si>
    <t>Gabriel de Módena</t>
  </si>
  <si>
    <t>. 1 Doña María de la Cruz de Mó~ dena.............................................. * Mariana Jorda D. Gabriel de Módena................. r Francisco Perez María Ana Santa............................. 1 Dos criados de Doña Francisca 45 Total. Don Alfonso de Furundarena, Teniente Coronel del Real Cue</t>
  </si>
  <si>
    <t>de Módena, María Ana</t>
  </si>
  <si>
    <t>María Ana de Módena</t>
  </si>
  <si>
    <t>•r &lt; Carr ata la ••••••••................ Nicolás Carratah:...................... " ............ 1 Doña María Ana de Módena y D. Josef Martras............................ 1 Ll Dr. D. Francisco Pitalúa........ 1 Doña Puch............................;............... I Josef Boquiliri................. . I uon</t>
  </si>
  <si>
    <t>de Módena, Nicolás</t>
  </si>
  <si>
    <t>Nicolás de Módena</t>
  </si>
  <si>
    <t>aría Antonia Várela....... 1 Doña María Vareia y Merler..... x Bautista Botella............... 1 1x D. Nicolás de Módena................... 1 Juan •r &lt; Carr ata la ••••••••................ Nicolás Carratah:...................... " ............ 1 Doña María Ana de Módena y D. Josef Martras...........</t>
  </si>
  <si>
    <t>de Módenes, Juan</t>
  </si>
  <si>
    <t>Juan de Módenes</t>
  </si>
  <si>
    <t>la Compañía Flamenca del Real cuerpo de Guardias de Corps. En atención á los méritos y servicios de D. Juan de Módenes, ha tenido el Rey á bien distinguirle con los honores de Intendente de Provincia. En América. El Rey se ha servido nombrar para una Ración de la metropolitana de Lima , vacante po</t>
  </si>
  <si>
    <t>de Moeenigo, Conde</t>
  </si>
  <si>
    <t>Conde de Moeenigo</t>
  </si>
  <si>
    <t>litarmente el territorio de dichas ciudades. Los habitantes han representado al Conde de Moeenigo, Ministro plenipotenciario de Rusia, quien ha creído no debía tomar ninguna providencia que pareciese hostil á la Puerta, con cuya Potencia la Rusia pretende continuar su buena inteligencia</t>
  </si>
  <si>
    <t>de Molina, Rafael</t>
  </si>
  <si>
    <t>Rafael de Molina</t>
  </si>
  <si>
    <t>ce, Granada,Málaga, Cuenca y Alcázar á D. Mariano Zorraquin,D. Miguel Antonio de Toledo y Estrada , D. Rafael de Molina, D. Josef Oliver, D. Tomas Cantero y Acosta, D. Juan Antonio Escalante, y D. Josef Antonio Quirds..,</t>
  </si>
  <si>
    <t>de Montes, Matías Carlos</t>
  </si>
  <si>
    <t>Matías Carlos de Montes</t>
  </si>
  <si>
    <t>n el mismo cuerpo,y en los Regimientos de infantería de Córdoba, Zaragoza y Jaén á los Subtenientes D. Matías Carlos de Montes, D. Domingo Navarro , D. Ignacio Joaquín Cavero y D. Manuel Ayenza, ios tres últimos de granaderos; y Subtenencias de bandera en el de Córdoba al Cadete D. Francisco Melgarejo, y</t>
  </si>
  <si>
    <t>de Mora y Lomas, Pedro</t>
  </si>
  <si>
    <t>Pedro de Mora y Lomas</t>
  </si>
  <si>
    <t>atención á srts buenos y dilatados servicios. Igualmente ha venido S. M. en declarar sus ascensos á D. Pedro de Mora y Lomas, y á los demás Oficiales según el orden de su antigüedad, y en nombrar para la última plaza que resulta vacante á D. Alfonso de Ibarra. JEÍ dia 29 de Diciembre próximo pasado cele</t>
  </si>
  <si>
    <t>cia de la provincia, se ha servido nombrar para ella , con los honores de Intendente de Exército, á D. Pedro de Mora y Lomas, Oficial mayor primero de la Secretaría áe Estado y del Despacho de Hacienda en el Departamento de España. • También ha venido S. en conceder su Jubilación á los Intendentes dé la</t>
  </si>
  <si>
    <t>de Mora, Joaquín</t>
  </si>
  <si>
    <t>Joaquín de Mora</t>
  </si>
  <si>
    <t>Joves, ÍD- Miguel Valdasano, D. Josef Leyva, D. Rafael Rodríguez Guerra,,0O. llamón Ortiz Canelas, D. Joaquín de Mora, D. Alonso Solís, X&gt;. Jjunan Robredo, D. Josef Luyando, D. Joaquín de Arce y D. Francisco Perez de Grandallana. A Tenientes de Fragata ¿h Alféreces de Navio D. Rafael de Luna, que</t>
  </si>
  <si>
    <t>de Moría, Tomás</t>
  </si>
  <si>
    <t>Tomás de Moría</t>
  </si>
  <si>
    <t>pueblos de la Alpujarra, casi arruinados, por los terremotos, es-téañbi,ha dado parte alExcmo. Sr.-D. Tomas de Moría, Capitán general de este Reyno, del fenómeno advertido en Berja en la noche del 26 de* Setiembre ¿en estos términos: „ Los terremotos y ruidos subterráneos aun continúan, advirtié</t>
  </si>
  <si>
    <t>de Moscoso, Juan Alonso</t>
  </si>
  <si>
    <t>Juan Alonso de Moscoso</t>
  </si>
  <si>
    <t>y jurisdicción de la villa de Argete, pertenecientes á las memorias que en ella fundo el limo. Sr. D. Juan Alonso de Moscoso, Obispo que fué de Málaga, tasadas en '7$,997rs. 17mrs., verificado en favor de Francisco Peña , vecino de dicha villa,en 51,roo rs. á' pagar en moneda metálica; cuyas tierras, co</t>
  </si>
  <si>
    <t>de Moxo, Benito</t>
  </si>
  <si>
    <t>Benito de Moxo</t>
  </si>
  <si>
    <t>cas por fallecimiento de D. Fr. Josef Antonio de S. Alberto, se ha servido el Rey nombrar para él á D. Benito de Moxo, Obispo de Assura : para el Obispado de Valladolid de Mechoacan, que ha vacado por muerte de Don Fr. Antonio de S. Miguel, á D. Marcos Moriana y Zafrilla, Inquisidor decano del tr</t>
  </si>
  <si>
    <t>de Moya, Antonio</t>
  </si>
  <si>
    <t>Antonio de Moya</t>
  </si>
  <si>
    <t>ento de- infantería ¿de Toledo la Tenencia Coronela ai 'Comandante dél tercer batallón del de Soria D. Antonio de Moya: en el de Irlanda la Comandancia del tercer ¡batallón al Sargento mayor del*de Ultonia, ^graduado iie-Goronel ,D. 'Pedro -O-Daly: en él de Cantabria contpañíá al• Ayudante ,g r ad</t>
  </si>
  <si>
    <t>de Murías, Francisco</t>
  </si>
  <si>
    <t>Francisco de Murías</t>
  </si>
  <si>
    <t>o del Valle, D. Josef de Santiago, D'. Joaquin Fernandez, D. Bernardo Meruendano, D. Josef del Hoyo,D. Francisco de Murías, D. Mariano Leones, D. Josef Nuñez, D. Francisco Enrile, D. Juan Gaideano, D. Josef Burgués de Mesiessi, D. Manuel Lizarza, D. Josef Aznar y ¿.Francisco Simón Perez de Grandallana</t>
  </si>
  <si>
    <t>de Muro, Pedro Antonio</t>
  </si>
  <si>
    <t>Pedro Antonio de Muro</t>
  </si>
  <si>
    <t>la Justicia ordinaria de la villa de Navarrete , se subastan ante ella, y por el oficio que exerce D. Pedro Antonio de Muro, Escribano de su número y Ayuntamiento, tres heredades de tierra blanca, sitas donde dicen la Orden: la una de 3 fanegas y 8 celemines, tasada en 5500 rs. : otra de 2 fan. y 10 ce</t>
  </si>
  <si>
    <t>de Negrete, Miguel</t>
  </si>
  <si>
    <t>Miguel de Negrete</t>
  </si>
  <si>
    <t>imero del batallón de Milicias disciplinadas de Pardos de Valencia, en la provincia de Venezuela, á D. Miguel de Negrete, segundo del de Blancos de la misma ciudad: para esta resulta ai Subteniente veterano D. Francisco Antonio Rodríguez: para la segunda Ayudantía de la Plana mayor de Blancos, agreg</t>
  </si>
  <si>
    <t>de Orihuela, Francisco Xavier</t>
  </si>
  <si>
    <t>Francisco Xavier de Orihuela</t>
  </si>
  <si>
    <t>Matias de Terrazas, Canónigo Magistral: para la Canongía Penitenciaria de la misma Metropolitana á D. Francisco Xavier de Orihuela, Cura de S. Sebastian, y Rector del Colegio Seminario de aquella ciudad; y para una Ración de la Catedral del Cuzco, vacante por muerte de D. Gregorio Sánchez de Cáceres, á D. Ped</t>
  </si>
  <si>
    <t>de Orozco, Ramón</t>
  </si>
  <si>
    <t>Ramón de Orozco</t>
  </si>
  <si>
    <t>ella ciudad: para el Arciprestazgo de Campo con Melgar , en el Arzobispado de Burgos, por muerte de D. Ramón de Orozco, á D. Manuel Freyre de Brito, Capellán del hospital de la Misericordia de Olivencia: para el Préstamo de Sordillos, en el mismp Arzobispado, por fallecimiento de D. Manuel Marquin</t>
  </si>
  <si>
    <t>de Orta, Bernardo</t>
  </si>
  <si>
    <t>Bernardo de Orta</t>
  </si>
  <si>
    <t>mada año de 1798: 6í. y. Plano del puerto-de Veracruz en la costa occidental del seno Mexicano, por D. Bernardo de Orta, Capitán de Navio de la Real Armada y de dicho puerto, año de 1798....- 6. f. Plano de los puertos de Santa Elena y de Meló en la costa Patagónica............................ 8- y</t>
  </si>
  <si>
    <t>de Orvaneja, Miguel</t>
  </si>
  <si>
    <t>Miguel de Orvaneja</t>
  </si>
  <si>
    <t>ascensos á los demas Oficiales de dicha Secretaría por el orden de su antigüedad D. Josef de Torre, D. Miguel de Orvaneja, D. Antonio Garayo, D. Josef de Alday, D. Josef de Iturralde, D. Bernardo Diosdado, D. Deogracias Cardenal, D. Feliciano de Guizaburuaga y D. Jcsef de Acevedo y Villaroel; habiend</t>
  </si>
  <si>
    <t>de Otaegur, Francisco</t>
  </si>
  <si>
    <t>Francisco de Otaegur</t>
  </si>
  <si>
    <t>mércio de ésta Corte, con endoso á D. Francisco de Otaegur; del de S. Sebastian, seis vides Reales de i.° de Setiembre, ios tres de á 300 pesos, con jos números 55*759» •&lt;&gt;3»57I» 20,286, *y ios otros tres de á 150, con los números 144,928</t>
  </si>
  <si>
    <t>de Oteyza, Juan Bautista</t>
  </si>
  <si>
    <t>Juan Bautista de Oteyza</t>
  </si>
  <si>
    <t>tipreciadas, y Ja de entregarse en. numerario e fectivo metálico-, y no en vales. ; . Por muerte de D. Juan Bautista de Oteyza, Comisario de los Reales Exércitos, ocurrida 20 años ha, poco mas ó menos, en la ciudad de S. Sebastian, en cuya pia za estuvo destinado,. quedaron ciertos bienes ralees que le pe</t>
  </si>
  <si>
    <t>de Ozores, Manuel</t>
  </si>
  <si>
    <t>Manuel de Ozores</t>
  </si>
  <si>
    <t>s............D. Andrés Fray le. En Cdaiz............... D. Benito de la Piedra. En Cartagena........D. Manuel de Ozores. En Ciudad-Real... D. Ramón Antonio Pico. En Córdoba..,.,.,,.. Sres. Barcia padre é hijo. En la Coruña........ D. Manuel Antonio Elzaurdi. En Cuenca..............Sres. viuda de Es</t>
  </si>
  <si>
    <t>os........i... D. Andrés Frayle. En Cádiz.............. D. Benito de la Piedra. En Cartagena....... D. Manuel de Ozores. En Ciudad-Real... D. Ramón Antonio Pico. En Córdoba...... . Sres. Barcia padre é hijo. En la Coruña...... D. Manuel Elzaurdi. En Cuenca............ Sres. viuda de Escolar y Norie</t>
  </si>
  <si>
    <t>de Padna Gay, Antonio</t>
  </si>
  <si>
    <t>Antonio de Padna Gay</t>
  </si>
  <si>
    <t>ranaderos P. Josef Conesa y Don Antonio Villafranca: Subtenencia de bandera en el de Jaén al Cadete D. Antonio de Padna Gay te: Tenencia en el batallón de Voluntarios de Valencia al Subteniente D. Francisco Xavier Parayuelo; y el empleo de segundo Ayudante en el de Voluntarios de Campomayor al Teniente</t>
  </si>
  <si>
    <t>de Palacio, Manuel</t>
  </si>
  <si>
    <t>Manuel de Palacio</t>
  </si>
  <si>
    <t>egui, D. Joaquín Ibañez de Corvera, D* Josef Valdasano, Dj, Manuel de Cañas, D. Josef del Castillo, D. Manuel de Palacio^11). JAcanta Romarate, D. Josef Corones, D. Nicolás de la Vega, D/MamutE Lasqucti, D. Ramón Rato, Don Roque Diaz,D. Miguel Daza,D. Diegf ]fadara,D. RamónTrullol, Don Juan Olaegui,</t>
  </si>
  <si>
    <t>de Palafox y Croy, Antonio</t>
  </si>
  <si>
    <t>Antonio de Palafox y Croy</t>
  </si>
  <si>
    <t>870 posición de S. Pío v: reimpresión principiada en tiempo y á costa del limo. Sr. D. Antonio de Palafox y Croy, Obispo que fué de Cuenca, y mandada cdntinuar á expensas de su espolio por orden del Éxcmo. Sr. D. Josef Eustaquio Moreno, Colector general de espolios y vacantes &amp;c. Este Cateci</t>
  </si>
  <si>
    <t>de Palafox y Mendoza, Juan</t>
  </si>
  <si>
    <t>Juan de Palafox y Mendoza</t>
  </si>
  <si>
    <t>ina: por D. Miguel Cavanellas. Se hallará en la librería de Castillo: su precio 12 rs. Carta del V. D. Juan de Palafox y Mendoza al Sumo Pontífice Inocencio x, traducida del latín por D. Salvador González : tercera edición. Se hallará en la librería de Claros, calle del Arenal. Moral de un filósofo cristian</t>
  </si>
  <si>
    <t>de Pappenheim, Barón</t>
  </si>
  <si>
    <t>Barón de Pappenheim</t>
  </si>
  <si>
    <t>ca; Mr. de Maiilardoz, Enviado extraordinario de la Confederación helvética; el Barón de Pappenheim, Ministro plenipotenciario del Landgrave de Hesse-Darmstadt; Mr. Belluomini, Enviado extraordinario de la Pvepúbliea de Lúea; y Mr. Abel, Ministro residente de. Jas Ciudades anseáticas.</t>
  </si>
  <si>
    <t>de Paula Alburquerque, Francisco</t>
  </si>
  <si>
    <t>Francisco de Paula Alburquerque</t>
  </si>
  <si>
    <t>ntía de la Plana mayor de Blancos, agregada al batallón de Milicias dePardos de la propia ciudad, á D. Francisco de Paula Alburquerque, Cadete del Ve</t>
  </si>
  <si>
    <t>de Paula Antonio María, Francisco</t>
  </si>
  <si>
    <t>Francisco de Paula Antonio María</t>
  </si>
  <si>
    <t>r se vistió la corte de sala en el Real sitio de Aranjuez con motivo del cumpleaños del Sr. Infante D. Francisco de Paula Antonio María, hijo tercero del Rey. S. M/se ha servido nombrar para una Ración de la metropolitana de Santiago, vacante por fallecimiento de-D. Ramón deHerce, áD. Josef Cos: para otra de la ca</t>
  </si>
  <si>
    <t>de Paula Antonio, Francisco</t>
  </si>
  <si>
    <t>Francisco de Paula Antonio</t>
  </si>
  <si>
    <t>se juzgaba indispensable. ESPAÑA. Madrid 3 de Abril de 1804. Con motivo de los dias del Sr. Infante D. Francisco de Paula Antonio, hijo tercero del Rey, se vistió ayer la corte de gala en el Real sitio de Aranjuez. Con motivo del fallecimiento del Duque de Ostrogocia Federico Adolfo, tio del Rey de Suecia, s</t>
  </si>
  <si>
    <t>de Paula Caminero, Francisco</t>
  </si>
  <si>
    <t>Francisco de Paula Caminero</t>
  </si>
  <si>
    <t>res á los Tenientes graduados de infantería y de granaderos de los provinciales de Valladolid y Tuy D. Francisco de Paula Caminero y D. Juan Domínguez; y en el de Murcia ai Subteniente del mismo cuerpo D. Josef Palacio Roxo. . Igualmente ha nombrado S. M* para un empleo de Alférez del regimiento del Rey, primero</t>
  </si>
  <si>
    <t>de Paula Cárdenas, Francisco</t>
  </si>
  <si>
    <t>Francisco de Paula Cárdenas</t>
  </si>
  <si>
    <t>ete D. Joaquín Ferranpy para el de Portaestandarte en el de Calatrava, décimo, de línea., ai Cadete D. Francisco de Paula Cárdenas.. En los regimientos provinciales ha nombrado el Rey-Capitán de granaderos deldeGuadix al de fusileros D; Pedro de Reyes: Capitanes de fu sileros de los de Ciudad-Rodrigo y Laredo</t>
  </si>
  <si>
    <t>de Paula Catalá, Francisco</t>
  </si>
  <si>
    <t>Francisco de Paula Catalá</t>
  </si>
  <si>
    <t>Cayetano Daniel, y en los de Valencia , Ordenes Militares y Voluntarios de la Corona á los Cadetes D. Francisco de Paula Catalá, D. Juan Ruiz Alvarez, Don Ambrosio Jalón y D. Juan Doz. En atención á los méritos y servicios personales contraídos en beneficio público y del estado por D. Francisco de Gomis, F</t>
  </si>
  <si>
    <t>de Paula Chamizo, Francisco</t>
  </si>
  <si>
    <t>Francisco de Paula Chamizo</t>
  </si>
  <si>
    <t>ué del Real Consejo de las Ordenes, y de Doña María de Mendoza su muger, de que fué último poseedor D. Francisco de Paula Chamizo, Marques de Montemorana, vecino de la ciudad de Lucena, acudan por su audiencia, y escribanía de provincia de D. Jua .uitonio de Zamacola, á usar de su derecho, dentro del término</t>
  </si>
  <si>
    <t>de Paula del Rey, Francisco</t>
  </si>
  <si>
    <t>Francisco de Paula del Rey</t>
  </si>
  <si>
    <t>rs. en pasta y 4 en panel: hay sus estampas, medidas y medallas. Reflexiones económico-políticas de D. Francisco de Paula del Rey, Auditor de Guerra de la costa y reyno de Granada, sobre los capítulos 7 y 38 del libro 2.0 de la obra intitulada Ciencia de la legislación, escrita en italiano per el caballero C</t>
  </si>
  <si>
    <t>de Paula García de Luna, Francisco</t>
  </si>
  <si>
    <t>Francisco de Paula García de Luna</t>
  </si>
  <si>
    <t>D. Lucas Gil Linares:^ fL de Voluntarios de Valencia al Cadete dei batallón segundo de Bi^-celloiaa D. Francisco de Paula García de Luna. Asimismo se ha servido el Rey promover á ^ ,Jjtenientes á los Sargentos primeros en el regimiento inmemorial del 3\&lt;@&gt;y D.. Faustino Zaragoza*. en el de la Reyna á D. Julián Sene</t>
  </si>
  <si>
    <t>de Paula Lison, Francisco</t>
  </si>
  <si>
    <t>Francisco de Paula Lison</t>
  </si>
  <si>
    <t>a Ración de la catedral de Valladolid, vacante por fallecimiento de D. Josef Guillermo de Junco, -á D. Francisco de Paula Lison, Canónigo de la colegial de Junquera de .Ambia: para otra de la de Coria, vacante por promoción de D. Juan García Rodríguez ALbarran á la Dignidad de Arcediano titular de la propi</t>
  </si>
  <si>
    <t>para una Canongía de la Colegial de Junquera de Ambia, Diócesi de Orense, vacante por promoción de D. Francisco de Paula Lison á una Ración de la Catedral de Valladolid, á Don Josef Várela, Cura de S. Salvador de Mourisco en dicha Diócesi; y para un Beneficio simple servidero de la villa de Arjona, en el</t>
  </si>
  <si>
    <t>de Paula Marti, Francisco</t>
  </si>
  <si>
    <t>Francisco de Paula Marti</t>
  </si>
  <si>
    <t>prender este arte , deberán concurrir á matricularse, hasta el fin de este mes, á casa del profesor D. Francisco de Paula Marti, calle del Baño, núm. 12, quarto segundo, desde las 4 á las 6 de la tarde, advirtiendo que á esta escuela puede asistir todo el que quiera, y desde la época que guste; pero los qu</t>
  </si>
  <si>
    <t>de Paula Miranda, Francisco</t>
  </si>
  <si>
    <t>Francisco de Paula Miranda</t>
  </si>
  <si>
    <t>Sargento mayor del de León: Tenencias en el de Zaragoza á los Subtenientes D. Juan Josef de Natfas, D. Francisco de Paula Miranda, D. Vicente Sardana y D. Sebastian Norzagaray, este de granaderos: en el primer batallón de Voluntarios de Barcelona ai Subteniente D. Pedro Pablo Tarrago; y el empleo de Capitán</t>
  </si>
  <si>
    <t>de Paula O-Campo, Francisco</t>
  </si>
  <si>
    <t>Francisco de Paula O-Campo</t>
  </si>
  <si>
    <t>te Coronel al Sargento mayor D. Julián de Vera; y en el de cazadores del Rey á Ayudante ai Teniente D. Francisco de Paula O-Campo. S. M. se ha servido nombrar para la Vara de Alcalde mayor de la villa de Socuéllamos á D. Joaquin de la Escalera: para la del Quintanar de la Orden á D. Angel del Busto: para la</t>
  </si>
  <si>
    <t>de Paula Vázquez, Francisco</t>
  </si>
  <si>
    <t>Francisco de Paula Vázquez</t>
  </si>
  <si>
    <t>ros en el primer batallón de Voluntarios de Aragón, y en el segundo de Barcelona al Capitán segundo D. Francisco de Paula Vázquez, y al primer Ayudante D. Tomas Márquez de la Plata; y á Subteniente de bandera en el primero de Barcelona ai Cadete de Reales Guardias Españolas D. Joaquín Montero y de Bigodet. E</t>
  </si>
  <si>
    <t>de Paula, Francisco</t>
  </si>
  <si>
    <t>Francisco de Paula</t>
  </si>
  <si>
    <t>oo. Continuación de la colección de retratos de las personas Reales: retrato del Sermo. Sr. Infante D. Francisco de Paula, grabado por D. Juan Brunetti, dibuxado por D. Antonio Carnicero, Pintor de Cámara de S. M. Se hallará en la librería de Escribano, calle de las Carretas, á 5 rs. En la librería d</t>
  </si>
  <si>
    <t>nsins, D. Josef Benito Portell y D. Pedro Pascual ajares y Cañamas; y en el batallón de Tarragona á D. Francisco de Paula ■ Gordilio , Sargento segundo distinguido del regimiento de Voluntario^ ¿eiEstado. En América. S. M. se ha servido nombrar p^raaiiu Canongía de merced de la catedral de Durango á</t>
  </si>
  <si>
    <t>de los de Cartagena, Havana y Puerto-Rico, la corbeta correo de la Real armada, nombrada el Infante D. Francisco de Paula, con las correspondencias del Real servicio y público. El Consejo, á consulta de la Comisión gubernativa de Consolidación de vales , y con aprobación de S. M., ha acordado la sexa</t>
  </si>
  <si>
    <t>legaron y permanecen SS. MM. y A A. sin novedad en su importante salud; á excepción del Sr. Infante D. Francisco de Paula, que por una ligera indisposición no ha podido seguir á SS. MM. Ei Rey se ha servido nombrar para una Cánongía de la iglesia metropolitana de Burgos , vacante por promoción de D.</t>
  </si>
  <si>
    <t>de Pedrosa, Gregorio</t>
  </si>
  <si>
    <t>Gregorio de Pedrosa</t>
  </si>
  <si>
    <t>e Valladolid, por el limo, y Rmo. Sr. D. Juan Acevedocon lo constituido y ordenado por el limo. Sr. D. Gregorio de Pedrosa en el sínodo que celebró en 1634: un tomo e.n 4.0 Se hallará en la librería de la viuda de Cerro, calle de Alcalá, y en Valladolid en la de Miñón. Práctica de las enfermedades local</t>
  </si>
  <si>
    <t>de Pinar, Blas</t>
  </si>
  <si>
    <t>Blas de Pinar</t>
  </si>
  <si>
    <t>a, Ciudad-Rodrigo, Granada y Cuenca á los Subtenientes D. Fernando Barbaza, D. Francisco Sta. Cruz, D. Blas de Pinar y D. Miguel de Córdoba: á Subtenientes de granaderos de los de Badajoz y Lorca, á los de fusileros D. Francisco Mercado y D. Josef Genant; y á Subteniente de bandera del de León á D.</t>
  </si>
  <si>
    <t>de Pinedo y Salazar, Julián</t>
  </si>
  <si>
    <t>Julián de Pinedo y Salazar</t>
  </si>
  <si>
    <t>istoria de la insigne Orden del Toyson de Oro: 3 tomos en folia, á 132 rs. el juego en rústica, por D. Julián de Pinedo y Salazar, dividida en tres partes, que comprehendcn el motivo de la fundación, las insignias y vestiduras de los Caballeros y Ministros, el número de estos, noticia histórica de sus título</t>
  </si>
  <si>
    <t>de Posada Rubín de Celis, Antonio</t>
  </si>
  <si>
    <t>Antonio de Posada Rubín de Celis</t>
  </si>
  <si>
    <t>iscurso pronunciado en la Real iglesia de S. Isidro de esta corte por el Dr. D. Antonio de Posada Rubín de Celis, Canónigo de la misma, el dia 20 de Noviembre de 1803 en el aniversario de los militares españoles. El Supremo Consejo de la Guerra acordó con S. M. la publicación de este discurso, bien pe</t>
  </si>
  <si>
    <t>de Prusia, Henrique (príncipe)</t>
  </si>
  <si>
    <t>Príncipe Henrique de Prusia</t>
  </si>
  <si>
    <t>u sobrina permanecen aun en Varsovia. Con motivo del desposorio de la Princesa Luisa Carlota con el Príncipe Henrique de Prusia, ha habido gran gala en Copenhague, y ademas, de la mesa de S. M., dio otra de 120 cubiertos el Mariscal de la Cortes durante la comida brindó S. M; á la saludjde los recien casad</t>
  </si>
  <si>
    <t>de Prusia, Luis (príncipe)</t>
  </si>
  <si>
    <t>Príncipe Luis de Prusia</t>
  </si>
  <si>
    <t>o el 17 los parabienes de la Corte, con motivo del matrimonio de su hija la Princesa Carlota con el Príncipe Luis de Prusia. Carísruhe 24 de Octubre. Se han recibido en Stuttgard cartas de varias personas de la comitiva del Principe Electoral de Wurtemberg, que dicen que S. A. pasará algún tiempo en Ñá</t>
  </si>
  <si>
    <t>de Queralt, Juan Bautista</t>
  </si>
  <si>
    <t>Juan Bautista de Queralt</t>
  </si>
  <si>
    <t>a 7 de Octubre último falleció, de edad de 45 años y 8 meses, en su quinta de Alella, el Excmo. Sr. D. Juan Bautista de Queralt, Pinos, Descatllar, Desbach &amp;c. Alférez mayor de Castilla, Conde de Santa Coloma y Ciíuentes, Marques de Besora y Alconchel &amp;c. 8cc. Alcalde mayor de las Alzadas, y Regidor de Tol</t>
  </si>
  <si>
    <t>de Quevedo Bust, Manuel</t>
  </si>
  <si>
    <t>Manuel de Quevedo Bust</t>
  </si>
  <si>
    <t>á los Reales ponséjos y de estos á la puerta de.f Sol i ijuien de hubiese encontrado le entregará a D Manuel de Quevedo Bust.ámánté,/Secretario de laSubdelégacion de imprené 'tas y librerías del, Reyno, cálle .anc.íjái de Peligros, húm. 18, quarto segundo. En la.villa del Viso del Marques, provincia de</t>
  </si>
  <si>
    <t>de Quintana, Andrés María</t>
  </si>
  <si>
    <t>Andrés María de Quintana</t>
  </si>
  <si>
    <t>, con la respectiva justificación, á entregarse de varios bienes y créditos que existen en poder de D. Andrés María de Quintana. Memorial literario núm. nx: contiene el extracto de la vida y hechos de San Agustín en quanto i la parte de su vida literaria: otro de la ética demostrativa dél P.~Morardo,de las</t>
  </si>
  <si>
    <t>de Rabenau, Barón</t>
  </si>
  <si>
    <t>Barón de Rabenau</t>
  </si>
  <si>
    <t>edenciales de su nuevo Emperador. Las últimas cartas de Ratisbona dicen, que el Barón de Rabenau, Ministro de Salzburgo, salió de aquella ciudad el 28 del pasado; los Ministros de Bohemia y de Hesse el 30, y el Barón de Albini, Ministro directorial, debe de marchar también muy pronto.</t>
  </si>
  <si>
    <t>de Rada y Santander, Bartolomé</t>
  </si>
  <si>
    <t>Bartolomé de Rada y Santander</t>
  </si>
  <si>
    <t>ección. El dia 14 de Setiembre ultimo falleció en S. Miguel de Aras, á los i3 años de edad , el Sr. D. Bartolomé de Rada y Santander, Ministro del Consejo Real. Estudió la facultad de Leyes y Cánones en-la Universidad de Vaíladolid, y por su aplicación y adelantamiento en dichas facultades substituyó varias Cát</t>
  </si>
  <si>
    <t>de Rantiere, Luis</t>
  </si>
  <si>
    <t>Luis de Rantiere</t>
  </si>
  <si>
    <t>de Capitán, D. Ramón de Santiago: Tenencias en el de Borbon á los Subtenientes D. Pedro Champañac, D. Luis de Rantiere y D. Josef Puech; y Subtenencias de bandera en el de la Princesa al Sargento primero D. Isidoro López: en el de Valencia al Cadete del de España D. Antonio Quirós: en el de América al</t>
  </si>
  <si>
    <t>de Rebolieda, Fernando Nicolás</t>
  </si>
  <si>
    <t>Fernando Nicolás de Rebolieda</t>
  </si>
  <si>
    <t>venturas de Telémaco, hijo de Ulises, por el limo. Sr. Fenelon, Arzobispo de Cambray: traducción de D. Fernando Nicolás de Rebolieda. Hay tres ediciones, una en castellano solo: 2 tomos en 8.°, á 14 rs. en rústica y 20 en pasta; otra en castellano, con el texto al frente, en 4 tomos en 8.% á 28 rs. en rústica y</t>
  </si>
  <si>
    <t>de Reden, Barón</t>
  </si>
  <si>
    <t>Barón de Reden</t>
  </si>
  <si>
    <t>Ratisbona de Junio. En la sesión del 20 se leyó en la Dieta una carta de Mr. el Barón de Reden, Ministro electoral de Brunswick-Luneburgo, en la qual exponía la triste situación en que se halla el Hannóver desde que está ocupado por los franceses. Recuerda con este motivo en nombre d</t>
  </si>
  <si>
    <t>de Reding, Carlos</t>
  </si>
  <si>
    <t>Carlos de Reding</t>
  </si>
  <si>
    <t>r salió de Aschafemburgo el i.° del corriente para ir á Ratisbona. El 27 del pasado dio audiencia á Mr. Carlos de Reding, Land-Amman de Argovia , y al Senador Stokar de Schafhousa, como diputados de la Confederación Helvética. Todo lo concerniente á los derechos que pertenecían antes al Obispo de Co</t>
  </si>
  <si>
    <t>de Répide y Raya, Juan</t>
  </si>
  <si>
    <t>Juan de Répide y Raya</t>
  </si>
  <si>
    <t>que reditúan anualmente 14,384 rs. Quién quisiese hacer postura acuda á la escribanía de número de D. Juan de Répide y Raya, en donde se dará razón dé las circunstancias de su venta. , . • Hallándose de. venta en pública subasta en París la célebre colección de quadros de Mr. Van-Leydén, de Amsterdam;</t>
  </si>
  <si>
    <t>de Répide, Juan</t>
  </si>
  <si>
    <t>Juan de Répide</t>
  </si>
  <si>
    <t>Quien quisiere hacer postura, acuda ante dicho Sr. Teniente por la escribanía del número que exerce D. Juan de Répide. A voluntad de su poseedor se vende una tierra sita en la vega de Zorita, frente la casa sexta del Real canal de Manzanares, de caber 9 fanegas útiles, tasadas á y6o rs. cada una,</t>
  </si>
  <si>
    <t>imibles importantes mas de 8o© rs. Quien quisiere hacer postura,acuda á la escribanía del número de D. Juan de Répide. En la villa de la Guardia de Toledo, dos leguas de Ocaña, se halla vacante la plaza de Cirujano latino, con la dotación anual de 500 ducados, cobrados por la Justicia: el vecinda</t>
  </si>
  <si>
    <t>prarla, acuda á tratar con D. Josef‘Moratilla, en la escribanía de número de esta villa, que exerce D. Juan de Répide, por la mañana desde las nueve hasta la</t>
  </si>
  <si>
    <t>211,131 rs, de que han de baxarse mas de 8o3 de cargas, acuda á la escribanía del número que excrce D. Juan de Répide. Los subscriptores del Quixote recogerán el tomo 6.° y último de la libre-ría de Escribano, hallándose también de venta esta obra en la de Fuentcnebro y compañía, calle de las Car</t>
  </si>
  <si>
    <t>de Retz, Juan</t>
  </si>
  <si>
    <t>Juan de Retz</t>
  </si>
  <si>
    <t>ronel; á este empleo al Coronel graduado D. Antonio Benavides , Sargento mayor de brigada; á este á D. Juan de Retz , Capitán primero; á este á D. Simón Treviila, Capitán segundo; y á este al Teniente I). Nicolás Verdejo. Igualmente ha conferido S; M. la Sargentía mayor del regimiento de caball</t>
  </si>
  <si>
    <t>de Reyna, Frañcisco</t>
  </si>
  <si>
    <t>Frañcisco de Reyna</t>
  </si>
  <si>
    <t>parroquial de Sta. María de Carmona, en el mismo arzobispado, por piuerte de Don Ventura Andueza, á D. Frañcisco de Reyna, Teniente deí tercer regi^ miento del Real cuerpo de Artillería: para la Prestamera de la mitacion de Prádena, en la diócesis de Córdoba, por fallecimiento de D. Juan Antonio Cuta</t>
  </si>
  <si>
    <t>de Riaño Pérez, Gaspar</t>
  </si>
  <si>
    <t>Gaspar de Riaño Pérez</t>
  </si>
  <si>
    <t>l de Covarrubias, en el arzobispado de Burgos , vacante por fallecimiento de D. Manuel Ortigúela, á D. Gaspar de Riaño Perez, Arcediano titular y Magistral de ella, con retención de los Préstamos que obtiene como. Canónico mas antiguo: para el Beneficio simple servidero de la parroquial de Santa María d</t>
  </si>
  <si>
    <t>de Ribas, Cayetano</t>
  </si>
  <si>
    <t>Cayetano de Ribas</t>
  </si>
  <si>
    <t>es primeros á los segundos D. Santiago de Luna, D. Josef de la Concha, D. Florencio dfe, Areizaga y D. Cayetano de Ribas, el primero, segundo y quarto Ayudantes :á este empleo á los Capitanes segundos D. Francisco Valderrama, D. Josef Power.y D. Josef Viñals: i. Capitanes segundos ,á los Tenientes D</t>
  </si>
  <si>
    <t>de Ribera, Gaspar Antonio</t>
  </si>
  <si>
    <t>Gaspar Antonio de Ribera</t>
  </si>
  <si>
    <t>Atanasio deUrueña, á D. Urbano Antonio Díaz de las Cuevas: para la Media-Ración,' que este dexa, á D. Gaspar Antonio de Ribera, Cura de Zoquitlan en aquella Diócesis; y para otra Media-Ración de la Iglesia Metropolitana de Charcas, vacante por muerte de D. Rafael de Arregui, á D. Juan Ventura de Aldazabal</t>
  </si>
  <si>
    <t>de Ribera, Juan</t>
  </si>
  <si>
    <t>Juan de Ribera</t>
  </si>
  <si>
    <t>a Pallavicini, Abad perpetuo de la congregación de Canónigos reglares lateranenses; y traducida por D. Juan de Ribera v Céspedes, Oficial de la Secretaría de Cruzada : tomo i.° Para formar idea del mérito de esta obra bastará insertar aquí lo que dice el autor acerca del plan que se propone segui</t>
  </si>
  <si>
    <t>de Riega, Manuel</t>
  </si>
  <si>
    <t>Manuel de Riega</t>
  </si>
  <si>
    <t>parroquia de Santiago de Folgueras, diócesis de Oviedo , por muerte de D. Juan Salazar y Poriier, á D. Manuel de Riega: para el de la parroquia de S. Nicolás dé la ciudad de Murcia, por promoción de D. Juan Bermudez al Priorato de las Ermitas, Dignidad de la metropolitana de Sevilla, á D. Josef Gu</t>
  </si>
  <si>
    <t>de Riglos y Ventura, Francisco</t>
  </si>
  <si>
    <t>Francisco de Riglos y Ventura</t>
  </si>
  <si>
    <t>afer, en la Vicaría de S. Millan, en la diócesis de Oviedo, por fallecimiento de D. Josef Roxas , á D. Francisco de Riglos y Ventura : para el Beneficio Préstamo del lugar de Pozanco, en la diócesis de Avila, vacante por muerte de D. Eulogio Argiielles, á D. Pedro Sánchez LarioS de Godoy; y para el de Sotalbo,</t>
  </si>
  <si>
    <t>de Rochberg, Barón</t>
  </si>
  <si>
    <t>Barón de Rochberg</t>
  </si>
  <si>
    <t>ido. Ratisbona 4 de Marzo. Ayer noche se presentó en la Dictadura una carta del Barón de Rochberg, Ministro de Baviera, juntamente con una declaración de su corte á la Dieta. En esta última anuncia S. A. E. que ha restablecido !a orden Eqiiestre en Franconia en el estado en que se halla</t>
  </si>
  <si>
    <t>de Rodas, Rafael</t>
  </si>
  <si>
    <t>Rafael de Rodas</t>
  </si>
  <si>
    <t>arítimo de la Europa : es* crito en italiano por Domingo Alberto Azuni, y traducido del francés por Don Rafael de Rodas: 2 tomos en 8.° Se hallarán en la librería de Alonso,1 frente a S. Felipe el Real. Esta obra se debe considerarar como absolutamente nueva , así: por el plan que abraza para fixar</t>
  </si>
  <si>
    <t>de Roxas, Diego</t>
  </si>
  <si>
    <t>Diego de Roxas</t>
  </si>
  <si>
    <t>servados con que el Santo la enseñaba y dirigía : al momento se imprimió en francés; y el limo. Sr. D. Diego de Roxas, Obispo de Calahorra y la Calzada, la mandó traducir en nuestro idioma con el deseo de que todas sus ovejas, y aun las de todo el mundo cristiano, se aprovechasen de esta devotísi</t>
  </si>
  <si>
    <t>de Roxas, Pedro Antonio</t>
  </si>
  <si>
    <t>Pedro Antonio de Roxas</t>
  </si>
  <si>
    <t>arreno; el Arcedianato qtie dexa al Chantre D. Rafael García Huidobro; la Chantría ¿i Maestrescuela D. Pedro Antonio de Roxas; esta dignidad al Tesorero D. Josef Antonio de Errazurriz; y la Tesorería á D. Manuel Josef de Vargas, Canónigo magistral de la propia iglesia. También se ha dignado S; M. promove</t>
  </si>
  <si>
    <t>de Roy, Diego María</t>
  </si>
  <si>
    <t>Diego María de Roy</t>
  </si>
  <si>
    <t>gnorados de D. Felipe de Fluines, vecino de Amsterdam, procedidos de las cuentas que este tenia con D. Diego María de Roy, vecino de Xerez de la Frontera, en cuya denuncia dio providencia el Sr. Subdelegado general, mandando convocar á D. Felipe de Fluines, ó á sus herederos, para que dentro de 3 mes</t>
  </si>
  <si>
    <t>de Rueda Cevallos, Pedro</t>
  </si>
  <si>
    <t>Pedro de Rueda Cevallos</t>
  </si>
  <si>
    <t>como se ejecuta, á todos los que se presuman con derecho a! enunciado crédito , como parientes del D. Pedro de Rueda Cevallos , citándoles, y emplazándoles,, á- fin de que-en- el término de 30 dias comparezcan, á dicho Supremo-Consejo , y por su escribanía de Cámara, á legitimar sus personas; con apercib</t>
  </si>
  <si>
    <t>de Rueda, Manuel</t>
  </si>
  <si>
    <t>Manuel de Rueda</t>
  </si>
  <si>
    <t>compendio histórico de los mas célebres grabadores, dedicada á la Real Academia de S. Fernando: por D. Manuel de Rueda, Comisario extraordinario del Estado mayor de Real Artillería. Se hallará en la librería de Montero, calle de la Gorguera, y de Fuente, junto á los Consejos. Ir á la guerra, naveg</t>
  </si>
  <si>
    <t>de Saavedra Faxardo, Diego</t>
  </si>
  <si>
    <t>Diego de Saavedra Faxardo</t>
  </si>
  <si>
    <t>en 8.°, buen papel y letra, en la librería de Castillo, frente á las gradas de S. Felipe. Obras de D. Diego de Saavedra Faxardo , que contienen 3 tomos de empresas políti cas: 7 de corona gótica castellana y austríaca, y uno de república literaria: última edición.rm Pastoral de instrucciones eclesiásticas</t>
  </si>
  <si>
    <t>de Salas, Diego</t>
  </si>
  <si>
    <t>Diego de Salas</t>
  </si>
  <si>
    <t>D; Miguel Quintana, D. Pedro Duran y. D. Mariano Gascón ; á Teniente de granaderos al de fusileros D. Diego de Salas; á Tenientes á tos Subtenientes de granaderos D.; Josef Bergaña., D* Mauricio Fornell y D- Josef Villa, al de fusileros D. Pedro Aidecoa y á; D. Hilarión de la Quintanay Teniente</t>
  </si>
  <si>
    <t>de Salazar y Porlier, Juan</t>
  </si>
  <si>
    <t>Juan de Salazar y Porlier</t>
  </si>
  <si>
    <t>e Honor y Predicador: para el de la villa de Mengibar , en la propia Diócesi, vacante por muerte de D. Juan de Salazar y Porlier, á D. Wenceslao Iíeredia, concediéndole permiso para que pueda ocurrir á la Santa Sede en solicitud de dispensa de menor edad para su obtención; y para el de Móstoles, en el Arzob</t>
  </si>
  <si>
    <t>de Salazar, Juan</t>
  </si>
  <si>
    <t>Juan de Salazar</t>
  </si>
  <si>
    <t>s variorum. 2.0: D. Carlos Altamirano: Terencio cum notis variorum. —, Astronomía y Cronología. i.° D. Juan de Salazar: Vayliy, Astronomía, tomos en 4.0 mayor. 2.0: D. Josef Gil: Lalande, Compendio de Astronomía___ Geografía. i.°: D. Serapio de la Hormaza: Mendoza, Tablas, Astronomía. 2.ü: D. Anto</t>
  </si>
  <si>
    <t>de Salazar, Manuel</t>
  </si>
  <si>
    <t>Manuel de Salazar</t>
  </si>
  <si>
    <t>tino Brunet; para el Arcedianato al Chantre D. Josef Joaquín Chacón; esta Dignidad al Maestrescuela D. Manuel de Salazar; y esta resulta 2I Canónigo Penitenciario D. Santiago Martinez de Peralta: para el Deanato de la iglesia de Santiago de Chile, vacante por ascenso de D. Antonio Martinez de Alduna</t>
  </si>
  <si>
    <t>de Salazar, Pedro</t>
  </si>
  <si>
    <t>Pedro de Salazar</t>
  </si>
  <si>
    <t>f Rodríguez Truxillo, D. Josef Pereyra, D. Santiago Mazarredo, D. Josef Mazarredo, D. Juan de’Vera, D. Pedro de Salazar, D. Felipe Esteller,, D. Josef del Viso, D. Jacinto Marcaida, D. Juan Bautista Lanz y Don; Francisco Ponce de León. Digesto teórico-práctico, ó Recopilación de los derechos Común,</t>
  </si>
  <si>
    <t>de Salcedo, Miguel</t>
  </si>
  <si>
    <t>Miguel de Salcedo</t>
  </si>
  <si>
    <t>l método instructivo de su maestro el Teniente D. Felipe Otermin, y ai constante zelo del Brigadier D. Miguel de Salcedo, Coronel de dicho cuerpo, que con los de-r mas gefes, se esmera en promover La instrucción de esta noble ciase en bien dei servicio de S. M. Madrid 24 de Julio. S. M. se ha servid</t>
  </si>
  <si>
    <t>de Sales Santistéban, Francisco</t>
  </si>
  <si>
    <t>Francisco de Sales Santistéban</t>
  </si>
  <si>
    <t>Béjar, Dignidad der la catedral de Plasencia , vacante por fallecimiento de D. Antonio Colmenero, á D. Francisco de Sales Santistéban , Canónigo de la de Zamora: para una Ración -de la iglesia primada de Toledo, vacante por promoción de D.i Juan FéB;x García á Canongía de. ella, á D. Tomas Dobon;. para otra' Rac</t>
  </si>
  <si>
    <t>ellán mayor de dicha Iglesia*, para una Canongía de la Catedral de Zamora, vacante por promoción de D. Francisco de Sales Santistéban al Arcedianato de Bejar, á D. Miguel de Aguilar Navarro, Capellán de los batallones de Marina del Departamento de Cádiz: para el Beneficio de S. Pedro de Murcia, vacante por muert</t>
  </si>
  <si>
    <t>de Sampéiáyb, Manuel</t>
  </si>
  <si>
    <t>Manuel de Sampéiáyb</t>
  </si>
  <si>
    <t>. Marcial Fraricisco del'Adalid eft':ía Ccirunat . D. Juan Lozanecen Poiitevedra, y en esta corté á D. Manuel de Sampéiáyb. ’•’* . ,l En 2 2 de Febrero próximo pasado desdé Salamanca á Zamora se perdió úñ Vale Real de 150 pesos, de la creación de Setiembre de 1803 , nuirt. 2062 26 , coñ solo el encabe</t>
  </si>
  <si>
    <t>de Sancha y Prado, Tomás</t>
  </si>
  <si>
    <t>Tomás de Sancha y Prado</t>
  </si>
  <si>
    <t>de D. Tomas de Sancha y Prado, dentro del término de 30 días precisos, contados desde el 23 de este mes de Abril, y pasados sin haberlo hecho les parará el perjuicio que haya lugar. Los subscriptores á la naev</t>
  </si>
  <si>
    <t>n Antonio Fernandez. Por la audiencia del propio Sr. Teniente Corregidor y escribanía del número de D. Tomas de Sancha y Prado, á voluntad de su dueño, se subasta una casa cochera, sita en esta corte, calle de S. Pedro, que vuelve á la de S. Isidro, núm, 8, manz. 121 , con pies de sitio, tasada en 77,951</t>
  </si>
  <si>
    <t>audiencia del Sr. D. Manuel de Torfés, Teniente Corregidor de esta villa, y escribanía de número de D. Tomas de Sancha y Prado, se subastan dos casas, con varias habitaciones, su noria y estanque, sitas al paseó de Chamberí, ininediatas i la puerta de Sta. Bárbara, tasadas en 109,333 rs* &gt; 7 una huerta y</t>
  </si>
  <si>
    <t>videncia del Sr. D. Manuel de Torres/Teniente Corregidor de esta villa', y escribanía del número de D. Tomas de Sancha y Prado, está señalado el dia 20 del presente, en la audiencia de dicho Señor, desde las doceT la una de su mañana, para el remate de unas casas, huerta y 9 fanegas de tierra, sitas al pa</t>
  </si>
  <si>
    <t>de Santa María y Salamanca, Domingo</t>
  </si>
  <si>
    <t>Domingo de Santa María y Salamanca</t>
  </si>
  <si>
    <t>e Valladolid, vacante por ascenso de D. Mariano Alonso á otra de Alcalde cíela Real casa y corte, á D. Domingo de Santa María y Salamanca , Oidor supernumerario de dicha Chancillería : para la que ha</t>
  </si>
  <si>
    <t>de Santiago Palomares, Francisco Xavier</t>
  </si>
  <si>
    <t>Francisco Xavier de Santiago Palomares</t>
  </si>
  <si>
    <t>de España: un tomo en'folio, y otro de Nomenclátor de sus pueblos, á 85 rs. el juego en pa^ta, por D. Francisco Xavier de Santiago Palomares. Se hallarán en el despacho de la Imprenta Real.</t>
  </si>
  <si>
    <t>de Santiago ViHaroel, Juan</t>
  </si>
  <si>
    <t>Juan de Santiago ViHaroel</t>
  </si>
  <si>
    <t>á los de fusileros D. Francisco Mercado y D. Josef Genant; y á Subteniente de bandera del de León á D. Juan de Santiago ViHaroel. En el Real cuerpo de Ingenieros del exérclto ha promovido S. M. á Sargentos mayores de brigada á los Capitanes primeros D, Ramón Calvet y D. Joaquín Cabrer; y á Capitán primero a</t>
  </si>
  <si>
    <t>de Santiago, Ramón</t>
  </si>
  <si>
    <t>Ramón de Santiago</t>
  </si>
  <si>
    <t>l, D. Patricio Kearney: Compañía en el de Astúrias al Teniente de granaderos , graduado de Capitán, D. Ramón de Santiago: Tenencias en el de Borbon á los Subtenientes D. Pedro Champañac, D. Luis de Rantiere y D. Josef Puech; y Subtenencias de bandera en el de la Princesa al Sargento primero D. Isido</t>
  </si>
  <si>
    <t>de Santistéban, Joaquín</t>
  </si>
  <si>
    <t>Joaquín de Santistéban</t>
  </si>
  <si>
    <t>bandera en el regimiento de infantería de Granada al Sargento primero distinguido del mismo cuerpo D. Joaquín de Santistéban; y en el de Navarra al Sargento primero del Real de Zapadores- Minadores D. Ramón de Luifa. S. M. se ha servido conferir el regimiento de infantería Suizo , vacante, de Schwaller,</t>
  </si>
  <si>
    <t>de Saracivar, Francisco Borja</t>
  </si>
  <si>
    <t>Francisco Borja de Saracivar</t>
  </si>
  <si>
    <t>e Rozas: para su Ración á D. Mariano Fvodriguez de Olmedo, y para la Media-Ración, que este dexa, á Don Francisco Borja de Saracivar, Cura en aquel arzobispado : para una Canongía de la catedral de Truxiilo del Perú á D. Josef Valdivieso; y para la Ración que este dexa á D. Josef Cabello, Cura de Zelendin en aq</t>
  </si>
  <si>
    <t>de Sarria, Juan Antonio</t>
  </si>
  <si>
    <t>Juan Antonio de Sarria</t>
  </si>
  <si>
    <t>os que quisiesen hacer pretensión, acudan dentro de 15 dias, contados desde el de su publicación, á D. Juan Antonio de Sarria, Alcalde de dicha villa, ó á D. Ignacio de Goycoechea, Fiel-Regidor de la referida anteiglesia. Se halla vacante la plaza de Maestra de la escuela de ninas de la villa de Reynosa,</t>
  </si>
  <si>
    <t>de Sartatea, Martín</t>
  </si>
  <si>
    <t>Martín de Sartatea</t>
  </si>
  <si>
    <t>be é Iraeta, vecino de México; en el Pera, al Conde de Fuente González, de Lima; en Buenos-Ay res a D. Martin de Sartatea • v en Manila á los factores de la Compañía. A los accionistas de América, que quisieren recibir su haber en España, se les rebanará 10 oor ico de lo que importe el dividendo por</t>
  </si>
  <si>
    <t>de Saxonia, María (princesa)</t>
  </si>
  <si>
    <t>Princesa María de Saxonia</t>
  </si>
  <si>
    <t>rchiduquesa de Austria, ha nombrado por única heredera de sus bienes, que son muy quantiosos , á la Princesa María de Saxonia, hija mayor del Príncipe Maximiliano. El 4 del corriente salió de Hannóver el Mariscal del Imperio Bernadotte para reconocer las obras deNieuburgo. Cada dia se hace sentir mas y m</t>
  </si>
  <si>
    <t>de Saxonia-Teschen, Alberto (duque)</t>
  </si>
  <si>
    <t>Duque Alberto de Saxonia-Teschen</t>
  </si>
  <si>
    <t>oriental , y que nuestro Monarca se verá en Polonia con S. M. I. de Rusia y con S. M. Prusiana. El Duque Alberto de Saxonia-Teschen hace construir en el arrabal de Mariar-Hilf un aqüeducto de mas de 40® varas de largo , en que se emplean tubos de hierro. Antes de comenzar las operaciones , entregó el generoso</t>
  </si>
  <si>
    <t>tra corte. Esta salida es una conseqüencia necesaria de lo que ha pasado en Roma. Se asegura que el Duque Alberto de Saxonia-Teschen ha comprado la señoría de Joslowitz, en Moravia, para regalársela á S. M. la Emperatriz. DINAMARCA. Copénhague 14 de Julio. El gobierno ha regalado una medalla de plata al hijo de</t>
  </si>
  <si>
    <t>o están nombrados todavía. Se distribuirán-entonces las medallas acuñadas en memoria del suceso. El Duque Alberto de Saxonia-Teschen no ha podido visitar los campamentos por hallarse indispuesto----- El Conde Kaunitz-Rittberg, Enviado del Austria cerca de la Corte de Saxonia, pasa con igual destino á la de Ñapó</t>
  </si>
  <si>
    <t>al suyo de Neustadt. Augsburgo jo de Octubre. Hemos sabido por las últimas cartas de Viena, que el Duque Alberto de Saxonia-Teschen no pudo quedarle en Praga á causa de indisposich n en su salud, y habiendo ido á Badén á tomar las aguas, no han surtido estas los buenos efectos que deseaba. Su enfermedad nos da</t>
  </si>
  <si>
    <t>El Duque Alberto de Saxonia-Teschen ha recaído, después de haber tomado las aguas de Badén, y está su vida en gran peligro. Su sobrino mas querido el Archiduque Carlos no se quita de su lado ni un momento. Se asegur</t>
  </si>
  <si>
    <t>de Segovia, Gabriel Martín</t>
  </si>
  <si>
    <t>Gabriel Martín de Segovia</t>
  </si>
  <si>
    <t>o Subero; y Guarda-Almacén extraordinario de los efectos de artillería del Real Sitio de Aranjuez á D. Gabriel Martin de Segovia. El Rey se ha servido nombrar á p. Juan Francisco Gascón para la Vara de Alcalde mayor de la ciudad de Orihuela, de segunda clase, vacante por salida de D. Josef Guadalupe Palacio</t>
  </si>
  <si>
    <t>de Serra y Lloreda, Juan</t>
  </si>
  <si>
    <t>Juan de Serra y Lloreda</t>
  </si>
  <si>
    <t>co. S. M« se ha servido nombrar Ministro Tesorero de las Reales caxás de S. Agustín de la Florida á D. Juan de Serra y Lloreda, electo Administrador de Tabacos de Aconcagua, en el Reyno de Chile. ’ Deseando S. M., por un efecto de su soberana consideración, conciliar con el estado actual del Real erario y</t>
  </si>
  <si>
    <t>de Sierra, Joaquín</t>
  </si>
  <si>
    <t>Joaquín de Sierra</t>
  </si>
  <si>
    <t>n Pereyra; y á los Cadetes D. Félix Arcos, Don Josef Perez, D. Juan Arguelles, D. Miguel de Sierra, D. Joaquín dé Sierra , D. Luis Carvajal, D. Josef Montero, D. Joaquín Rafael Inza y Don Josef Quiros: en el de Valencia la Comandancia del tercer batallón al Sargento mayor del de América, graduado de</t>
  </si>
  <si>
    <t>de Sierra, Miguel</t>
  </si>
  <si>
    <t>Miguel de Sierra</t>
  </si>
  <si>
    <t>rnandez y D. Sebastian Pereyra; y á los Cadetes D. Félix Arcos, Don Josef Perez, D. Juan Arguelles, D. Miguel de Sierra, D. Joaquín dé Sierra , D. Luis Carvajal, D. Josef Montero, D. Joaquín Rafael Inza y Don Josef Quiros: en el de Valencia la Comandancia del tercer batallón al Sargento mayor del d</t>
  </si>
  <si>
    <t>de Silíceo, Sebastián</t>
  </si>
  <si>
    <t>Sebastián de Silíceo</t>
  </si>
  <si>
    <t>repartiese por iguales partes entre sus parientes pobres, dentro de quarto grado, los de su marido D. Sebastian de Silíceo, y los de D. Diego Santiago Calderón, dentro del propio grado; é ignorándose quienes sean legítimamente, se les cita, llama y emplaza, para que dentro del preciso y perentorio tér</t>
  </si>
  <si>
    <t>de Silva, Fernando</t>
  </si>
  <si>
    <t>Fernando de Silva</t>
  </si>
  <si>
    <t>rio de guerra del exército , al Capitán primero del quinto regimiento del Real cuerpo de Artillería D. Fernando de Silva. En América, E11 el regimiento de infantería de Buenos-Ayres se ha dignado el Rry promover á Subtenientes de bandera á los Cadetes Don Bartolomé. Pizarro, D. Miguel del Pino, y D.</t>
  </si>
  <si>
    <t>de Sobremonte, Marcos</t>
  </si>
  <si>
    <t>Marcos de Sobremonte</t>
  </si>
  <si>
    <t>isco •Saez, el primero graduado de Alférez, y al Cadete del regimiento de Reales Guardias Españolas D. Marcos de Sobremonte. Igualmente se ha servido S. M. nombrar para una plaza de Oidor de la Real Audiencia de Buenos-Ayres, vacante por fallecimiento de Don Francisco Garasa, á D. Josef Márquez de la P</t>
  </si>
  <si>
    <t>de Soldevielia y Yanguas, Matías</t>
  </si>
  <si>
    <t>Matías de Soldevielia y Yanguas</t>
  </si>
  <si>
    <t>e las Muelas y D. Ramón Caruncho; y Subtenientes de bandera de los de Segóvia, Cuenca y Plasencia á D. Matías de Soldevielia y Yanguas, D. Pedro Casábete y Zamora y D. Francisco Breña Mateos. ■ En América. ■ Para la Canongía magistral déla iglesia catedral de la: Concepción de Chile, vacante por ascenso de D. And</t>
  </si>
  <si>
    <t>de Soldevilla, Tomás</t>
  </si>
  <si>
    <t>Tomás de Soldevilla</t>
  </si>
  <si>
    <t>co; á Tenientes de ios de Píasencia y Avila d los Subtenientes D. Pedro Lobo, D. Josef Barbachano , D. Tomas de Soldevilla, y D. Mariano de Becerrii; á Subteniente de granaderos del de Cuenca al de fusileros D. Benito Ramos Novillo ; y á Subtenientes de bandera de los de Laredo, Sigtienza y Ecija á D.</t>
  </si>
  <si>
    <t>de Soroa, Joaquín</t>
  </si>
  <si>
    <t>Joaquín de Soroa</t>
  </si>
  <si>
    <t>dara,D. RamónTrullol, Don Juan Olaegui, D. Víctor Vinader, D.,.Vicente de Lago, D. Pedro Landazuri, D. Joaquín de Soroa, D. Adriinti.Morquecho, D. Bartolomé Arguelles, D. Fernando Becerra, D. Rafkl Bovadillo, D. Josef Mendivil, I). Antonio Saavedra, D. Vicente Vallijcel, D. Josef Primo de Ribera,</t>
  </si>
  <si>
    <t>de Sorreguieta, Tomás</t>
  </si>
  <si>
    <t>Tomás de Sorreguieta</t>
  </si>
  <si>
    <t>otro empleo recayga en el sugeto que se juzgue mas benemérito. Carta de un bascongado al presbítero D. Tomas de Sorreguieta, advirtiéndole varias equivocaciones que ha padecido en su obra titulada Semana-Hispano-Bascongada, que acaba de publicar. Este papel debe excitar la atención de los curiosos, y m</t>
  </si>
  <si>
    <t>de Sotnarriba, Melchor</t>
  </si>
  <si>
    <t>Melchor de Sotnarriba</t>
  </si>
  <si>
    <t>ía de Caracas se ha dignado S. M. conferir el empleo de Capitán al Ayudante mayor de dicho batallón Don Melchor de Sotnarriba; esta resulta al Teniente D. Juan Manrique: empleos d¿ Tenientes á los Subtenientes D. Ramón de Ayala, de granaderos, y D. Miguel Valdés; de Subteniente de granaderos al de fusile</t>
  </si>
  <si>
    <t>de Soto y Mata, Francisco</t>
  </si>
  <si>
    <t>Francisco de Soto y Mata</t>
  </si>
  <si>
    <t>ado por fallecimiento de D., Ignacio Sebastian de la Parra, se ha servido el Rey nombrar al segundo D. Francisco de Soto y Mata; y ha concedido los ascensos á los demas Oficiales de dicha Secretaría por el orden de su antigüedad D. Josef de Torre, D. Miguel de Orvaneja, D. Antonio Garayo, D. Josef de Alday</t>
  </si>
  <si>
    <t>de Soto, Juan María</t>
  </si>
  <si>
    <t>Juan María de Soto</t>
  </si>
  <si>
    <t>pitán del regimiento dé dragones de España, fixo del mismo reyno. Al Coronel D. Juan María de Soto, Teniente Coronel del regimiento de infantería de Puebla, se ha servido el Rey conferirle la Tenencia de Rey de la plaza de Veracruz y Comandancia del castillo de S. Juan de Ulua. En la sac</t>
  </si>
  <si>
    <t>de Soto, Manuel</t>
  </si>
  <si>
    <t>Manuel de Soto</t>
  </si>
  <si>
    <t>el Rey nombrar para la plaza de Ministro togado del Consejo de Indias, vacante por fallecimiento de D. Manuel de Soto, á D. Josef de la Portilla, Regente de la Audiencia del Cuzco; y para las Asesorías de los Gobiernos é Intendencias de Durango y S. Luis de Potosí,áD. Pedro Telmo Landeroy D.Josef</t>
  </si>
  <si>
    <t>de Soto, Ramón Alonso</t>
  </si>
  <si>
    <t>Ramón Alonso de Soto</t>
  </si>
  <si>
    <t>á D. Josef Vallugera y Nuñez: para la de Brihnega á D. Antonio Abad Ibañez ; y para la de la Seca á D. Ramón Alonso de Soto. Habiendo conferido S. M. á D. Martin de Garay la Intendencia de la provincia de Murcia, ha venido en nombrarle para el Corregimiento de aquella ciudad, que está unido á dicha Int</t>
  </si>
  <si>
    <t>de Sousa y Holstein, Alexandro</t>
  </si>
  <si>
    <t>Alexandro de Sousa y Holstein</t>
  </si>
  <si>
    <t>ntribuciones y gabelas todo él año de 1804. A mediados de este mes murió en esta ciudad el Exc. Sr. D. Alexandro de Sousa y Holstein, Embaxador de S. M. Fidelísima cerca de la Santa Sede. Ha salido de aquí, después de algunas remanas &lt;le mansión, el General ruso Hitroff, que, en virtud de encargo de íu Soberano</t>
  </si>
  <si>
    <t>de Sta, Francisco Antonio</t>
  </si>
  <si>
    <t>Francisco Antonio de Sta</t>
  </si>
  <si>
    <t>de Bribiesca, en eí arzobispado de Burgos, vacantes por fallecimiento de D. Diodoro de Salamanca, á D. Francisco Antonio de Sta. Mana y la Prada: para el Beneficio simple préstamo de Villanueva de Odra, en la propia diócesis , vacante pór muerte del mismo Salamanca , á D. Tiburcio Sineo; y para los de Sta.</t>
  </si>
  <si>
    <t>de Steube, Barón</t>
  </si>
  <si>
    <t>Barón de Steube</t>
  </si>
  <si>
    <t>xonia ; el Barón de Dalberg, Ministro plenipotenciario del Elector de Badén; eL Barón de Steube, Ministro plenipotenciario del Elector de Wurtemberg; el Barón de Mahlsburg , Ministro plenipotenciario del Elector de Hesse-Casel; Mr. 'Ferreri, Ministro plenipotenciario y Enviado extraor</t>
  </si>
  <si>
    <t>de Subiza, Andrés</t>
  </si>
  <si>
    <t>Andrés de Subiza</t>
  </si>
  <si>
    <t>de Lara; y la de bandera del mismo Cuerpo á D. Juan María de Melgar. El Rey se ha servido nombrar á D. Andrés de Subiza para una plaza de Alcalde del Crimen de la Real Audiencia deCátaluña, vacante por promoción de D. Rafael de Urbina á Oidor de la Chancillería de Granada. En América. S. M. se ha d</t>
  </si>
  <si>
    <t>de Tapia, Antonio</t>
  </si>
  <si>
    <t>Antonio de Tapia</t>
  </si>
  <si>
    <t>n de sus bienes en aquellos qu 2 acrediten tener derecho. H ¡hiendo fa'lecido en la ciudad de Ronda D. Antonio de Tapia, Conde de Tu'ckar, do: »ndr&gt; varios vínculos y patronatos, de que era poseedor, y llamado como sus ir.m.-diatos á sus quatro sobrinos carnales D. Miguel, D. J ose f, D. Antonio y</t>
  </si>
  <si>
    <t>de Tejada, Juan</t>
  </si>
  <si>
    <t>Juan de Tejada</t>
  </si>
  <si>
    <t>para una Canongía de la Colegial de S. Quirce , en el Arzobispado de Burgos, vacante por muerte de D. Juan de Tejada , á D. Andrés Somavilla , Operario de las Misiones en el Colegio conciliar de S. Miguel de la ciudad de Orihuela: para otra Canongía de la misma Colegial, vacante por promoción de</t>
  </si>
  <si>
    <t>de Tejada, Pedro</t>
  </si>
  <si>
    <t>Pedro de Tejada</t>
  </si>
  <si>
    <t>pitán del mismo Cuerpo Conde de Ibeagh: Compañía en el de América al Ayudante, graduado de Capitán, D. Pedro de Tejada: Ayudantía en el de Murcia al Teniente, con grado de Capitán, D. Roberto Macnamara; y Subtenencias de bandera en el propio Cuerpo y el de la Rey na al Sargento primero de granader</t>
  </si>
  <si>
    <t>de Teran, Manuel</t>
  </si>
  <si>
    <t>Manuel de Teran</t>
  </si>
  <si>
    <t>visitar son 2g en el distrito de una legua: país saludable. El que quiera hacer pretensión, acuda á D. Manuel de Teran, Procurador general de aquel valle, en el lugar de Qrmas; y en Madrid á D. Francisco MantHla, que vive en la casa del Excmo. Sr. Conde de Altanara* „ ICempis de Imitatione Christl</t>
  </si>
  <si>
    <t>de Terrazas, Matias</t>
  </si>
  <si>
    <t>Matias de Terrazas</t>
  </si>
  <si>
    <t>. Tomas Godoy y Vilches: para la Chantría ai Tesorero D. Juan Manuel Berdeja; y para la Tesorería á D. Matias de Terrazas, Canónigo Magistral: para la Canongía Penitenciaria de la misma Metropolitana á D. Francisco Xavier de Orihuela, Cura de S. Sebastian, y Rector del Colegio Seminario de aquella ci</t>
  </si>
  <si>
    <t>de Toda, Félix</t>
  </si>
  <si>
    <t>Félix de Toda</t>
  </si>
  <si>
    <t>ente, graduado de Capitán, D. Josef Chiva: á Tenientes en los de Mallorca y Jaén á los Subtenientes D. Félix de Toda y D. Francisco Alegre ; y i Capitán segundo en el de Suizos de Ruttiman al Teniente dé granaderos D. Víctor Schwendbiel. / -: En el:Real cuerpo de Ingenieros del exército ha promovido</t>
  </si>
  <si>
    <t>de Toledo y Estrada, Miguel Antonio</t>
  </si>
  <si>
    <t>Miguel Antonio de Toledo y Estrada</t>
  </si>
  <si>
    <t>dera de los de Avila, Salamanca, Bujalance, Granada,Málaga, Cuenca y Alcázar á D. Mariano Zorraquin,D. Miguel Antonio de Toledo y Estrada , D. Rafael de Molina, D. Josef Oliver, D. Tomas Cantero y Acosta, D. Juan Antonio Escalante, y D. Josef Antonio Quirds..,</t>
  </si>
  <si>
    <t>de Toledo, Joaquín</t>
  </si>
  <si>
    <t>Joaquín de Toledo</t>
  </si>
  <si>
    <t>D. Francisco Solís, D. Josef Pasalagua, D. Diego de Aguirre, D. Vicente Climent, D. Juan Albornoz, D. Joaquin de Toledo, D. Joaquin Leones, D. Julián Leones, D. Pedro Rato Cisneros, D. Justo Salafranca, D. Baltasar Cornelias, D. Josef Rodríguez Truxillo, D. Josef Pereyra, D. Santiago Mazarredo, D.</t>
  </si>
  <si>
    <t>de Torfés, Manuel</t>
  </si>
  <si>
    <t>Manuel de Torfés</t>
  </si>
  <si>
    <t>Por la audiencia del Sr. D. Manuel de Torfés, Teniente Corregidor de esta villa, y escribanía de número de D. Tomas de Sancha y Prado, se subastan dos casas, con varias habitaciones, su noria y estanque, sitas al paseó de Ch</t>
  </si>
  <si>
    <t>de Toro, Antonio</t>
  </si>
  <si>
    <t>Antonio de Toro</t>
  </si>
  <si>
    <t>Rey se ha servido nómbrar para una Canongía de la catedral de la Paz, vacante por fallecimiento de D. Antonio de Toro, á D. Josef Eraso y Borunda: para la Ración que dexa en ella á D. Nicolás de Hore y Moscoso; y para la Media-Ración , que este obtenía en la misma, á D. Josef de Orihuela, Cura de</t>
  </si>
  <si>
    <t>de Toro, Francisco</t>
  </si>
  <si>
    <t>Francisco de Toro</t>
  </si>
  <si>
    <t>1802, con precisa residencia y obligación de alternar con el Párroco en decir Misa por el pueblo, á D. Francisco de Toro, Beneficiado de Sta. María la nueva de dicha ciudad; y para la Capellanía Real de S. Jorge de la ciudad de Olite, en el Obispado de Pamplona, vacante por fallecimiento de D. Manue</t>
  </si>
  <si>
    <t>de Torres Cónsul, Manuel</t>
  </si>
  <si>
    <t>Manuel de Torres Cónsul</t>
  </si>
  <si>
    <t>Por la audiencia del Sr. D. Manuel de Torres Cónsul, Teniente Corregidor de esta villa,, se cita, llama y emplaza á las personas que se contemplen con derecho á suceder en los bienes, caudal y efectos que han quedado por fallecimie</t>
  </si>
  <si>
    <t>e dicha ciudad. Quien quisiere hacer postura, acudirá ante dicho Señor; y en esta Corte ante el Sr. D. Manuel de Torres Cónsul, y escribanía de D Casimiro Antonio Gómez, Se vende á voluntad de su dueño una casa sita en la calle de S. Bernardino, barrios de las Capuchinas, núms. 5 y 6, manz. 536, tasada en</t>
  </si>
  <si>
    <t>a á esta, ó mejora á aquellas, acuda en Badajoz á dicho Sr. Corregidor, y en esta Corte ante el Sr. D. Manuel de Torres Cónsul, Teniente Corregidor de esta villa, y escribanía del número de D. Casimiro Antonio Gómez. Quien quisiere hacer postura á una casa sita en la cuesta de la Vega, núm, 4, matiz. 192,</t>
  </si>
  <si>
    <t>en 4.0, á 1 5 rs. en pasta. Se hallarán en el despacho de la Imprenta Real. Por providencia del Sr. D. Manuel de Torres Cónsul, del Consejo de S. M., primer Teniente Corregidor de esta villa, se ha mandado sacar á pública subasta, por término de 15 días, contados desde el 18 del corriente, la mitad de un</t>
  </si>
  <si>
    <t>de Torres Villaroel, Diego</t>
  </si>
  <si>
    <t>Diego de Torres Villaroel</t>
  </si>
  <si>
    <t>fg rs. en pasta y 12 en rústica, y las cartas sueltas á.sus respectivos precios. Obras completas de D. Diego de Torres Villaroel: 15 tomos en 8.° Se halltq rán en la librería de la viuda de Ibarra, calle de la Gorguera. Consideraciones políticas sobre la conducta que debe observarse ení/e marido y muger. Se</t>
  </si>
  <si>
    <t>de Torres y Barchino, Manuel</t>
  </si>
  <si>
    <t>Manuel de Torres y Barchino</t>
  </si>
  <si>
    <t>jo de Cangas de Tineo, diócesis de Oviedo, vacante por fallecimiento de D. Miguel Bernardo Meana, á D. Manuel de Torres y Barchino: para ei Beneficio de las parroquias unidas de Santa María, S. Juan y S. Martin de la villa de Arjona, diócesis de Jaén , vacante por muerte de D. Francisco Monsagrati , con la ob</t>
  </si>
  <si>
    <t>de Torres, Alonso</t>
  </si>
  <si>
    <t>Alonso de Torres</t>
  </si>
  <si>
    <t>y en los de Voluntarios de Estado, Voluntarios de lz Corona y Borbon, Tenencias á los Subtenientes D. Alonso de Torres, D. Cayetano Mena y D. Martin Ruéíle, los dos últimas de granaderos. En atención á los méritos y servicios de D. Luis Fernandez Gonzalo del Rio, ha venido el Rey en concederle los</t>
  </si>
  <si>
    <t>de Torres, Francisco</t>
  </si>
  <si>
    <t>Francisco de Torres</t>
  </si>
  <si>
    <t>de Priego, en el obispado de Cuenca, vacante por fallecimiento de D. Francisco Basilio de Torres, á D. Francisco de Torres, Teniente de Beneficiado de la propia villa: para el Arciprestazgo de. Calatañazor, en el obispado de Ósma, por muerte de D*. León Hidalgo, á D.. Nicolás Pascual, Cura de Musarejo</t>
  </si>
  <si>
    <t>de Torres, Francisco Basilio</t>
  </si>
  <si>
    <t>Francisco Basilio de Torres</t>
  </si>
  <si>
    <t>ra el medio Beneficio de la Villa de Priego, en el obispado de Cuenca, vacante por fallecimiento de D. Francisco Basilio de Torres, á D. Francisco de Torres, Teniente de Beneficiado de la propia villa: para el Arciprestazgo de. Calatañazor, en el obispado de Ósma, por muerte de D*. León Hidalgo, á D.. Nicolás</t>
  </si>
  <si>
    <t>de Torres, Gerónimo María</t>
  </si>
  <si>
    <t>Gerónimo María de Torres</t>
  </si>
  <si>
    <t>a catedral de Lérida el limo. Sr. D. Joaquín Carrillo Mayoral, Obispo de Zamora, por el limo. Señor D. Gerónimo María de Torres, Obispo de la misma; siendo asistentes los limos. Sres. D. Francisco de la Dueña y Cisneros, Obispo de Urgel, y D. Joaquín Sánchez de Cutánea, Obispo de Huesca, y padrino el vener</t>
  </si>
  <si>
    <t>de Torres, Manuel</t>
  </si>
  <si>
    <t>Manuel de Torres</t>
  </si>
  <si>
    <t>rovencio, de 35 almudes, tasada según su situación y circunstancias en 9800 rs. , acuda ante el Sr. D. Manuel de Torres, del Consejo de S. M., Teniente Corregidor de esta villa , por la escribanía numeraría de D. Diego Benigno González, donde se admitirán las posturas que se hicieren en moneda metá</t>
  </si>
  <si>
    <t>consuelos que hasta los últimos instantes la procuró su piedad y religión. Por providencia del Sr. D. Manuel de Torres, del Consejo de S. M. , Teniente Corregidor de esta villa, refrendada del Escribano de su número D. Antonio Fernandez, se ha mandado volver á sacar á subasta por término de i 5 dí</t>
  </si>
  <si>
    <t>e dicho Sr. Subdelegado por la escribanía de D. Fausto Manuel de Ezquerra. Por providencias del Sr. D. Manuel de Torres , del Consejo de' 'S. M., primer Teniente Corregidor de esta villa, y por la escribanía dél ñúmero de D.'Diego Benigno González, se ha mandado sacar á pública subasta, por térmiho</t>
  </si>
  <si>
    <t>de Tórres, Manuel</t>
  </si>
  <si>
    <t>Manuel de Tórres</t>
  </si>
  <si>
    <t>esenciar dichos exercicios los que quietan asistir a ellos. ________ _ ---- - ■ . audiencia dél Sr. D. Manuel de Tórres , del Consejo de S. M., Temente Corregidor de esta villa , y á virtud de Real facultad se subastan las obras y reparos de una casa, sita en esta corte, calle de los Prec.ados, mim</t>
  </si>
  <si>
    <t>, á 30 rs. en rústica. Se hallará en el mismo despacho de la imprenta Real. Por providencia del Sr. D. Manuel de Torres, del Consejo de S. M., primer Teniente Corregidor de esta villa, á instancia de los síndicos nombrados por los acreedores á la testamentaría de D. Juan Aedos Bravo, se han mandado</t>
  </si>
  <si>
    <t>. También ha nombrado S. M. Ayudante veterano del regimiento de infantería provincial de Tlaxcala á D. Manuel de Torres , Teniente veterano de cazadores del de infantería provincial de las Tres villas. Igualmente se lia servido el Rey nombrar para la plaza de Ministro togado del Consejo de Indias,</t>
  </si>
  <si>
    <t>do varias obras executadas en dicha casa por uno de los inquilinos que la ocupan, acuda ante el Sr. D. Manuel de Torres, del Consejo de S. M., Teniente de Corregidor de esta villa, y por la escribanía de número de D. Juan Antonio de Urraza, dentro del término de 30 dias, contados desde el 19 del co</t>
  </si>
  <si>
    <t>Sr. Alcalde por la escribanía de provincia de D. Juan Antonio Díaz Noriega. Por providencia del Sr. D. Manuel de Torres, del Consejo de S. M., Teniente Corregidor de esta villa, y escribanía de número de D. Diego Benigno González, se subasta una casa sita en la calle de Hortaleza, con fachada a la</t>
  </si>
  <si>
    <t>ante el referido Sr. Alcalde por la escribanía de provincia de D. Juan Antonio Díaz Moriega. El Sr. D. Manuel de Torres, Teniente Corregidor de esta villa, ha señalado el día 25 del presente, después de las 12 , en su audiencia para el remate de 2 casa5 unidas, consistentes en las calles de la Conc</t>
  </si>
  <si>
    <t>Bravo, cuyo importe se ha regulado en 16,500 rs., acudan, dentro del término de 9 dias, ante el Sr. D. Manuel de Torres, del Consejo de S. M., primer Teniente Corregidor de esta villa, Juez que conoce de dicha testamentaría, y por la escribanía del número de D. Juan Antonio de Urraza, á entejarse d</t>
  </si>
  <si>
    <t>ústica, y 100 con las estampas sueltas. Se hallarán en el despacho de la imprenta Real. Ante el Sr. D. Manuel de Torres, del Consejo de S. M., primer Teniente Corregidor de esta villa, y por la escribanía de numero de D. Juan Antonio de Urraza se está subastando una casa, sita en la calle de S. Jua</t>
  </si>
  <si>
    <t>y Princesa á los Subtenientes D. Vicente Ximeno , graduado de Teniente, D. Josef Revest y Lassala, D. Manuel de Torres, D.Diego Marques,D. Juan Diego Perez y D. Manuel Sánchez; y Subtenencias de bandera en el de Extremadura al Sargento primero de granaderos D. Vicente Flores, y en el propio cuerpo</t>
  </si>
  <si>
    <t>o. Se hallará en la Calcografía de S. M., establecida en la Imprenta Real. Por la audiencia del Sr. D. Manuel de Torres, y escribanía del número de Don</t>
  </si>
  <si>
    <t>mover á Teniente en el Regimiento de infantería Real de Lima al Subteniente de granaderos del mismo D. Manuel de Torres: á Subteniente de granaderos al de fusileros Don Cárlos Herdoiza; y á Subteniente de bandera del mismo á D. Gabriel Bartolomé, Sargento primero de dicho Cuerpo. En el Regimiento d</t>
  </si>
  <si>
    <t>er postura, comparezca en dicho dia y hora á las referidas puertas de S. S. Por providencia del Sr. D. Manuel de Torres/Teniente Corregidor de esta villa', y escribanía del número de D. Tomas de Sancha y Prado, está señalado el dia 20 del presente, en la audiencia de dicho Señor, desde las doceT la</t>
  </si>
  <si>
    <t>28 estadales mas de tierra de mediana y mala calidad, tasado todo en 300,578 rs., acuda ante el Sr. D. Manuel de Torres, primer Teniente Corregidor de esta villa y y por la escribanía del número de D: Juan Antonio de Urraza,</t>
  </si>
  <si>
    <t>de Torres, Manuel Vicente</t>
  </si>
  <si>
    <t>Manuel Vicente de Torres</t>
  </si>
  <si>
    <t>eros 25 , 78, 63, 90 y.7; y con ellos han ganado los jugadores 400,240 rs. Por providencia, del Sr. D. Manuel Vicente de Torres, del Consejo de S. M.# Teniente Corregidor.¡de;esta, villa,yescribanía de, D.Tomas deSancha y; Prado, se ha mandado sacar á subasta por término de 15 dias , contadosdesde el 20 de</t>
  </si>
  <si>
    <t>señalado el dia 20 del corlante , de doce 4 una de la mañana, á las puertas de la audiencia del Sr. D. Manuel Vicente de Torres, del Consejo de S. M., Teniente Corregidor de esta villa, por ante el Escribano del número de ella D. Claudio Sanz. Se halla vacante el partido de Médico de la villa de Yuncos, do</t>
  </si>
  <si>
    <t>que falleció en la isla de Sto. Tomé en 23 de Mayo de 1801 , acuda 4 exponerlo y acreditarlo al Sr. D. Manuel Vicente de Torres, del Consejo de SrM., primer Teniente Corregidor dé esta villa , Juez comisionado por S. M. para entender en sutestamentaría, y escribanía del número</t>
  </si>
  <si>
    <t>s, y se ha de verificar su remate el dia i.° de junio próximo á la hora de audiencia, en la del Sr. D. Manuel Vicente de Torres, del Consejo de S. M., Teniente Corregidor de esta villa, ante el Escribano del número D. cobo Manuel Manrique. Quien quisiere hacer postura lo exequtará ante dicho Señor, y por l</t>
  </si>
  <si>
    <t>tá subastando, tasado en la cantidad de 12,500 rs., deducidas sus cargas, se ha señalado por el Sr. D. Manuel Vicente de Torres, del Consejo de S. M., primer Teniente Corregidor de esta villa , y por la escribanía del número de D. Ramón de Milla Cuellar, el día 10 del corriente, de doce á una de su mañana,</t>
  </si>
  <si>
    <t>iempre que á lo ménos se cubra el precio de la tasación. Por providencia de 5 del corriente de) Sr. D. Manuel Vicente de Torres, del Consejo de S. M., primer Teniente Corregidor de esta villa, y como Subdelegado de la Real Junta general de Comercio,Moneda y Minas, se manda convocar á los acreedores al conc</t>
  </si>
  <si>
    <t>tan deseados. - A virtud de Real resolución de S. M., comunicada por la Comisión gubernativa al Sr. D. Manuel Vicente de Torres, de su Consejo, y primer Teniente Corregidor en esta villa, y por providencia dada con fecha de 11 del presente, se han mandado sacar al pregón y pública subasta , por término de</t>
  </si>
  <si>
    <t>tes del valor de su tasa en moneda metálica sonante. Quien quisiere hacer mejora, acuda ante el Sr. D. Manuel Vicente de Torres, Teniente Corre;gidor de esta villa, y escribanía numeraria de D. Ramón Milla Cuellar. A voluntad de su dueño se venden unas casas sitas en las calles del Limón y dé S. Joaquín, n</t>
  </si>
  <si>
    <t>de Tóyola, se ha vuelto á señalar el sábado 22 del corriente á las puertas de la audiencia dél Sr. D. Manuel Vicente de Torres y primer Teniente Corregidor de esta villa, y hora de doce á una de su mañana, cuya casa tiene de sitio 10,103 pies, y se halla tasada en 598,404 rs. 24 mrs. Quien quisiere hacer po</t>
  </si>
  <si>
    <t>881 Por el juzgado del Sr. D. Manuel Vicente de Torres, del Consejo de S. M., Teniente Corregidor de esta villa, y escribanía numeraría de D. Jacobo Manuel Manrique se venden dos dehesas de pasto y labor, tituladas Cuevasyelmas y Rome</t>
  </si>
  <si>
    <t>les. Quien quisiere hacer mejora 4 esta, y postura 4 la otra, juntas ó separadas, acuda ante el Sr. D. Manuel Vicente de Torres,, y escribanía del numero de D. Jaccbo Manuel Manrique. Quien quisiere hacer postura 4 una casa sita en la calle de la Zarza y Peregrinos, niím. 15 , manz. 382 , cuyo sitio se com</t>
  </si>
  <si>
    <t>fue rematada en *?oo9 rs. metálicos, á la qual se ha hecho Ja mejora del quarto, ha señalado el Sr. D. Manuel Vicente de Torres, del Consejo de S. M., Teniente Corregidor de esta villa, el iíínes 12 del cor/iente, y hora de doce á una de su mañana, en las puertas de la audiencia de S. S., y ante D. Ramón d</t>
  </si>
  <si>
    <t>538,355 rs. á vales Reales, y héchose dicha mejora, se ha señalado para el nuevo remate por el Sr. D. Manuel Vicente de Torres, delConsejo de S. M., Teniente Corregidor de esta villa, y escribanía del número de D. Ramón de Milla Cuellar, el viérnes 16 del corriente á las puertas de la audiencia de S. S.,</t>
  </si>
  <si>
    <t>dia 5 de Enero del año próximo venidero, á las doce de su mañana. En virtud de providencia del Sr. D. Manuel Vicente de Torres, Teniente Corregidor de esta villa, ante el Escribano del número D. Jacobo Manuel Manrique, por tercero y ultimo término, y por el de 10 dias contados desde el 24 del corriente, s</t>
  </si>
  <si>
    <t>'1084 Por providencia del Sr. D. Manuel Vicente de Torres, del Consejo de S. M., primer Teniente Corregidor de esta villa, y escribanía del número de D. Ramón da Milla Cuellar, se lia mandado sacar de nuevo á pública subasta f por términ</t>
  </si>
  <si>
    <t>de Torres, Sebastián</t>
  </si>
  <si>
    <t>Sebastián de Torres</t>
  </si>
  <si>
    <t>á en el mas benemérito el día 31 del presente , hasta cuyo tiempo se admiten los memoriales. El Sr. D. Sebastian de Torres, del Consejo Real, como Juez protector del estudio de gramática castellana, establecido en la calle de Relatores, núm. 9 , ha señalado el 20 de Enero de 1804 para dar principio á</t>
  </si>
  <si>
    <t>dio de gramática y ortografía castellana , que regenta D. Guillelmo Xaramillo, presidiéndole el Sr. D. Sebastian de Torres, del Consejo Real. El catedrático, examinadores y varios de los concurrentes preguntaron á los alumnos acerca de todas las partes de la gramática , su construcción y reglas de ort</t>
  </si>
  <si>
    <t>de Tovar, Alonso</t>
  </si>
  <si>
    <t>Alonso de Tovar</t>
  </si>
  <si>
    <t>ha venido S. M. en jubilarle, conservándole todos sus honores, y se ha servido nombrar para ella á D. Alonso de Tovar. También se ha servido nombrar para la Vara de Teniente primero de Asistente de la ciudad de Sevilla á D. Juan Antonio Bringas; y para el Corregimiento de letras de la de Anduxar</t>
  </si>
  <si>
    <t>de Traba, Pablo</t>
  </si>
  <si>
    <t>Pablo de Traba</t>
  </si>
  <si>
    <t>entos primeros D. Fernando Carrasco , D. Ignacio Bernardini y D. Eugenio Villásana; y_á los Cadetes D. Pablo de Traba , D. Josef Withe , D. Vicente Máríar Rosique , D. Guillermo Berard y D. Gabriel Jaume. En el Real cuerpo de Artillería se ha servido el Ríe Y promover á Te—1 nientes Coroneles á l</t>
  </si>
  <si>
    <t>de Turienzo, Ana</t>
  </si>
  <si>
    <t>Ana de Turienzo</t>
  </si>
  <si>
    <t>numero de D. Francisco lares Maldonado, ha hecho dimisión de sus bienes, á favor de sus acreedores Doña Ana de Turienzo, vecina de esta corte, viuda de D. Juan de lotour, la que ha presentado memorial de unos y otros; y á su instancia , entre otras cosas, se ha mandado convocar , como por el presen</t>
  </si>
  <si>
    <t>de Ubeda, Martín</t>
  </si>
  <si>
    <t>Martín de Ubeda</t>
  </si>
  <si>
    <t>ías , contados desde el 16 de este mes. Ignorándose en el día la existencia y paradero de los Sres. D. Martin de Ubeda , presbítero Beneficiado de la parroquial de S. justo de'la ciudad de Toledo, y Capellán cumplidor de la que en el convento de la Victoria de esta corte fundó Fernando de Segura y</t>
  </si>
  <si>
    <t>de Udi, Melchor</t>
  </si>
  <si>
    <t>Melchor de Udi</t>
  </si>
  <si>
    <t>os y emolumentos, nombrando al propio tiempo para esta plaza al Alcalde de corte del mismo Tribunal D. Melchor de Udi: para esta resulta a D. Joset María Galdano , con la antigüedad que tiene en la plaza del crimen de la Audiencia de Valencia; y para sucederle en ella a D. Ramón Calvo de Rozas. E</t>
  </si>
  <si>
    <t>de Unzaga, Francisco</t>
  </si>
  <si>
    <t>Francisco de Unzaga</t>
  </si>
  <si>
    <t>tonio Elzaurdi. En Cuenca..............Sres. viuda de Escolar y Noriega é hijo. En Granada......... D. Francisco de Unzaga. En Guadalaxara. D. Isidoro García Plaza. En Jaén................. D. Pedro y D. Juan Esponera. En León.............. D. Pedro Gil de Tejada. En Málaga......... D. Juan Ximeno. :</t>
  </si>
  <si>
    <t>ha servido, conferir compañía en el regimiento de infantería Inmemorial del Rey á su Caballero Page D. Francisco de Unzaga; y Tenencias en los de la Corona y Borbon á Los Subtenientes D. Juan Bautista Benache y D. Antonio Noaylles. En el Real cuerpo de Artillería se ha servido el Rey promover á Capita</t>
  </si>
  <si>
    <t>de Urbina, Rafael</t>
  </si>
  <si>
    <t>Rafael de Urbina</t>
  </si>
  <si>
    <t>biza para una plaza de Alcalde del Crimen de la Real Audiencia deCátaluña, vacante por promoción de D. Rafael de Urbina á Oidor de la Chancillería de Granada. En América. S. M. se ha dignado promover á Teniente en el Regimiento de infantería Real de Lima al Subteniente de granaderos del mismo D. Ma</t>
  </si>
  <si>
    <t>de Urbina, Ramón</t>
  </si>
  <si>
    <t>Ramón de Urbina</t>
  </si>
  <si>
    <t>de Oidor de la Chancillería de Granada, vacante por fallecimiento de D. Cristóbal Montes de Oca, á D. Ramón de Urbina, Ministro del crimen de la Audiencia del Principado de Cataluña: para el Corregimiento de Letras de las Merin— dades de Castilla la Vieja, su capital Villarcayo, á D. Juan Cid y V</t>
  </si>
  <si>
    <t>de Uriarte, Joaquín</t>
  </si>
  <si>
    <t>Joaquín de Uriarte</t>
  </si>
  <si>
    <t>males que afligen la humanidad, y es la fuente de los más dulces placeres. En seguida el Secretario D. Joaquín de Uriarte leyó el extracto de las actas del cuerpo en el último añó, y dió á conocer el valor de los conocimientos científicos que ha extendido, y de los que está tratando de propagar. Desp</t>
  </si>
  <si>
    <t>de Urintz-Berberich, Barón</t>
  </si>
  <si>
    <t>Barón de Urintz-Berberich</t>
  </si>
  <si>
    <t>enes particulares que posee á la orilla izquierda del IRhin. Ha llegado aquí el Barón de Urintz-Berberich, Ministro de S. A. S. el Príncipe de la Tour y Taxis cerca de la Dieta, de vuelta de su co^ misión á Berlín y á otras cortes de Alemania. i - Francfort 2/ de Diciembre. En virtud de tina or</t>
  </si>
  <si>
    <t>de Urraza, Juan Antonio</t>
  </si>
  <si>
    <t>Juan Antonio de Urraza</t>
  </si>
  <si>
    <t>S. M., Teniente de Corregidor de esta misma villa, y por la escribanía de su número , del cargo de D. Juan Antonio de Urraza, á presentar las escrituras de Imposición y demas documentos de legislación y pertenencia de dos censos perpetuos , que corresponden al propio mayorazgo, ambos de 8 rs. de renta e</t>
  </si>
  <si>
    <t>uisiere hacer postura, juntas ó separadas , acuda ante di■ cho Sr. Juez, y escribanía del número de D. Juan Antonio de Urraza , dentro de Ante el mismo Sr. Teniente Corregidor, y escribanía del numero de D. Francisco lares Maldonado, ha hecho dimisión de sus bienes, á favor de sus acreedores Doña Ana de</t>
  </si>
  <si>
    <t>cer postura á las referidas fincas acuda ante dicho Sr. Teniente, y por la escribanía del número de D. Juan Antonio de Urraza, dentro dei término de 30 días , contados desde el 16 de este mes. Ignorándose en el día la existencia y paradero de los Sres. D. Martin de Ubeda , presbítero Beneficiado de la pa</t>
  </si>
  <si>
    <t>orres, del Consejo de S. M., Teniente de Corregidor de esta villa, y por la escribanía de número de D. Juan Antonio de Urraza, dentro del término de 30 dias, contados desde el 19 del corriente. HabiendoTallecido D. Lázaro Nuñez, natural de Anguinses, en las islas Canarias, por el testamento que otorgó en</t>
  </si>
  <si>
    <t>la de Carlos m, dei Consejo de S. M., Teniente Corregidor de esta villa, y escribanía del número de D. Juan Antonio de Urraza, á instancia de los acreedores de D. Vicente Tiller Foich de Cardona y Doña Joaquina de Paredes su muger, se está subastando una huerta perteneciente á la Doña Joaquina (conocida</t>
  </si>
  <si>
    <t>Corregidor de esta villa, Juez que conoce de dicha testamentaría, y por la escribanía del número de D. Juan Antonio de Urraza, á entejarse de las condiciones con que lo han de verificar, y hacer las proposiciones que tengan por conveniente. La plaza de Médico de la villa y anteiglesia de Munguía se halla</t>
  </si>
  <si>
    <t>s, del Consejo de S. M., primer Teniente Corregidor de esta villa, y por la escribanía de numero de D. Juan Antonio de Urraza se está subastando una casa, sita en la calle de S. Juan Ja nueva, junto á la puerta de Fuencarral, m'im. 4, manz. 506, que comprehende 10,023 pies de sitio superficiales, tasada</t>
  </si>
  <si>
    <t>30 dias, contados desde ei 6 del corriente, comparezcan en su audiencia, y escribanía de número de D. Juan Antonio de Urraza, por sí, ó por medio de procurador, con el competente poder á legitimar sus respectivos derechos y créditos, deducir y exponer lo que tuvieren por oportuno, con apercibimiento de</t>
  </si>
  <si>
    <t>de Urrúchí, Ángel</t>
  </si>
  <si>
    <t>Ángel de Urrúchí</t>
  </si>
  <si>
    <t>s con dicha carga, y aquellas sin alguna*, acuda ante dicho Sr¿ Asesor-general por la escribanía de D. Angel de Urrúchí, que se admitirán las postut as y‘mejoras que se hifciésen-, y1 procederá á su remate, entredoce y una del juéves 24 de Mayo^proítíirio eti la casa-posada de S. S* como señalado p</t>
  </si>
  <si>
    <t>de Urrutia, Agustin</t>
  </si>
  <si>
    <t>Agustin de Urrutia</t>
  </si>
  <si>
    <t>ntes á los Subtenientes de granaderos D. Rafael Montero y D. Agustín de Aguirre, á los de fusileros D. Agustin de Urrutia, D. Josef de Uviella y D. Miguel Valenzue(lá , y á los de bandera D. Josef Fulgencio Rósales y D. Josef María Roa; á Subtenientes de granaderos ái de fusileros D. Josef Viya y al</t>
  </si>
  <si>
    <t>de Valenzuela Prado, Fernando</t>
  </si>
  <si>
    <t>Fernando de Valenzuela Prado</t>
  </si>
  <si>
    <t>*°38 quando sean censurados en lugar de aplaudidos, como deben serlo el Director D. Fernando de Valenzuela Prado, el Dean de esta Sta. Iglesia D. Josef Martínez de Mazas, el Coronel de exército D. Andrés de Viedma, D. Fernando y D. Juan Josef de Aranda, Maestrantes de Ronda y Granada, que á</t>
  </si>
  <si>
    <t>de Vallada, Pedro</t>
  </si>
  <si>
    <t>Pedro de Vallada</t>
  </si>
  <si>
    <t>has fincas juntas ó separadas , acudan ante e! insinuado Señor, y por la escribanía de provincia de D. Pedro de Vallada-* res, que se admitirán las que se hiciesen, con tal que no sean manos muertas, ni en méiios cantidad que la en que respectivamente están justipreciadas, y Ja de entregarse en. num</t>
  </si>
  <si>
    <t>de Valladares, Pedro</t>
  </si>
  <si>
    <t>Pedro de Valladares</t>
  </si>
  <si>
    <t>su Alcalde de Casa y Corte, á quien está cometida dicha Real facultad, y escribanía de provincia de D. Pedro de Valladares, ó ante las respectivas Justicias de dichos pueblos, en el término de 30 dias , que se admitirán las que se hicieren, no siendo manos muertas, ni en ménos cantidad de la en que re</t>
  </si>
  <si>
    <t>ntonio Cano Manuel, á quien está concedida dicha Real facultad, y por 1* escribanía de Provincia de D. Pedro de Valladares, que se admitirán las que se hagan, no siendo manos muertas. Por providencia del Sr. D. Torquato Antonio'Collado, del Consejo de S. M. Teniente Corregidor de esta villa, se ha man</t>
  </si>
  <si>
    <t>amente están justipreciadas, acudan ante dicho Sr. Comisionado, y por la escribanía de provincia de D. Pedro de Valladares; y ha señalado para el remate el dia 5 de Enero del año próximo venidero, á las doce de su mañana. En virtud de providencia del Sr. D. Manuel Vicente de Torres, Teniente Corregido</t>
  </si>
  <si>
    <t>de Vareas, Manuel</t>
  </si>
  <si>
    <t>Manuel de Vareas</t>
  </si>
  <si>
    <t>Jayme Sanz y D. Juan Ca.samayorj, y en los del Inmemorial del Rey , Granada y Murcia á los Cadetes Don Manuel de Vareas, D. Francisco Perez Cortes y D. Juan Nepomuceno de Les, todos de los misinos cuerpos, excepto el último que lo es del de Jaén. En atención á los servicios y mérito de D.. Juan de</t>
  </si>
  <si>
    <t>de Vargas, Francisco</t>
  </si>
  <si>
    <t>Francisco de Vargas</t>
  </si>
  <si>
    <t>y D. Diego Salido; y á Capitanes primeros á los segundos D. Gil Saenz deTeiada,D. Josef Hidalgo, y D. Francisco de Vargas. También ha conferido S. M. Ayudantía en el regimiento de caballería de España, ccravo de línea, al Teniente D. Cayetano Salcedo; y Tenencias en los del Rey y Almansa, primero y t</t>
  </si>
  <si>
    <t>de Vargas, Juan</t>
  </si>
  <si>
    <t>Juan de Vargas</t>
  </si>
  <si>
    <t>9°7 bandera en el de Málaga al Sargento primero de granaderos D. Juan de Vargas, y en los de América y Nápoles á los Cadetes D. Pedro Bringas, D. Fernando Martínez de Aguilar y D. Juan Bautista Raggi, el segundo del regimiento de Granada, y el último del de R</t>
  </si>
  <si>
    <t>de Vargas, Ramón</t>
  </si>
  <si>
    <t>Ramón de Vargas</t>
  </si>
  <si>
    <t>tenientes D. Ramón de Vargas, D. Juan Salvato, D. Pedro Antonio Fernandez, D. Ramón y D. Francisco de Velasco: Subtenencias de bandera al Sargento primero de granaderos D. Cayetano Pastera, y al Cadete D. Jua</t>
  </si>
  <si>
    <t>de Varona, Esteban</t>
  </si>
  <si>
    <t>Esteban de Varona</t>
  </si>
  <si>
    <t>el Antonio Borrero, D. Miguel Cocio y D. Ubaldo Socorras, y á Subtenientes de bandera á los Cadetes D. Esteban de Varona y D. Miguel de Arosteguí. S. M. se ha servido conferir el Gobierno militar y político de Cumaná, en la provincia de Venezuela, al Brigadier D.Juan Manuel Cagigal, Teniente de Rey de l</t>
  </si>
  <si>
    <t>de Velasco, Antonio</t>
  </si>
  <si>
    <t>Antonio de Velasco</t>
  </si>
  <si>
    <t>do batallón de Voluntarios de Aragón se ha servido S.M. promover á Subteniente de bandera al Cadete D. Antonio de Velasco. El Rey se ha servido conferir la Comandancia del tercer batallón del Regimiento de infantería de Córdoba al Teniente Coronel D. Josef María de Carvajal, Sargento mayor del de Leó</t>
  </si>
  <si>
    <t>de Velasco, Manuel</t>
  </si>
  <si>
    <t>Manuel de Velasco</t>
  </si>
  <si>
    <t>jos; y para la de Oidor de la misma Audiencia, vacante por jubilación de D. Sebastian de Velasco, á D. Manuel de Velasco, electo para la de Filipinas: para otra de Oidor de la Audiencia de México á D. Miguel Bataller; y para la de Alcalde del crimen de la misma, que este dexa, á D. Jacobo de Villaur</t>
  </si>
  <si>
    <t>Rey se ha dignado conferir plaza de Oidor de la Real Audiencia de Manila, vacante por promoción de D. Manuel de Velasco á otra de la de Büenos-Ayres ,á D. Manuel JoSef de Reyes, Teniente Asesor del Gobierno é Intendencia del Cuzco. S. M« se ha servido nombrar Ministro Tesorero de las Reales caxás d</t>
  </si>
  <si>
    <t>de Velasco, Manuel Dionisio</t>
  </si>
  <si>
    <t>Manuel Dionisio de Velasco</t>
  </si>
  <si>
    <t>idor de la Real Audiencia de Filipinas, vacante por renuncia de D. Antonio Rodríguez de Cárdenas, á D. Manuel Dionisio de Velasco, Abogado de los Reales Consejos y de las Audiencias de Charcas y Buenos-Ayres; y para el Corregimiento de la villa del Socorro en el Vireynato de Sta. Fe, vacante por renuncia de</t>
  </si>
  <si>
    <t>de Velasco, Sebastián</t>
  </si>
  <si>
    <t>Sebastián de Velasco</t>
  </si>
  <si>
    <t>Abogado de los Reales Consejos; y para la de Oidor de la misma Audiencia, vacante por jubilación de D. Sebastian de Velasco, á D. Manuel de Velasco, electo para la de Filipinas: para otra de Oidor de la Audiencia de México á D. Miguel Bataller; y para la de Alcalde del crimen de la misma, que este dexa</t>
  </si>
  <si>
    <t>de Vengara, Joaquín</t>
  </si>
  <si>
    <t>Joaquín de Vengara</t>
  </si>
  <si>
    <t>e del regimiento de caballería de María Luisa, quinto de húsares, al Capitán D. Joaquín de Vengara , Teniente deL mismo cuerpo. En el Real cuerpo de Artillería se ha servido el Rey promover á Capitanes primeros á los segundos D. Mariano Montoya y D. Luis Gastón; y á Capitanes segundos á l</t>
  </si>
  <si>
    <t>de Vera, Julián</t>
  </si>
  <si>
    <t>Julián de Vera</t>
  </si>
  <si>
    <t>te al Alférez D. Josef Castilla: en el de caballería de Borbon á Teniente Coronel al Sargento mayor D. Julián de Vera; y en el de cazadores del Rey á Ayudante ai Teniente D. Francisco de Paula O-Campo. S. M. se ha servido nombrar para la Vara de Alcalde mayor de la villa de Socuéllamos á D. Joaqu</t>
  </si>
  <si>
    <t>de Vera, Luis</t>
  </si>
  <si>
    <t>Luis de Vera</t>
  </si>
  <si>
    <t>uel Villanueva, y á Subtenientes á D. Dimas de Cañas, D. Tomas Arroyo, D. Josef DomingoUrquisavaso, D. Luis de Vera, D. Josef María Fernandez Boullosa, D. Josef Manuel Díaz de la Madrid, D. Francisco Ruiz Linares , D. Francisco Xavier y Andrade , Don Josef María Noriega, D. Joaquín Artacho y Mo</t>
  </si>
  <si>
    <t>de Vi, Joaquín</t>
  </si>
  <si>
    <t>Joaquín de Vi</t>
  </si>
  <si>
    <t>ales que han escrito sobre esta materia, así en la. península como fuera de ella : su autor el Lie. D. Joaquín de Vi!¡alba profesor de Cirugía médica, primer Ay udante de Cirujano mayor del Exército, Catedrático de Hipofisíoiogia en la Real Escuela. Veterinaria &amp;c.:. 2 tomos en 4.0 Se hallarán e</t>
  </si>
  <si>
    <t>de Viedma, Andrés</t>
  </si>
  <si>
    <t>Andrés de Viedma</t>
  </si>
  <si>
    <t>e Valenzuela Prado, el Dean de esta Sta. Iglesia D. Josef Martínez de Mazas, el Coronel de exército D. Andrés de Viedma, D. Fernando y D. Juan Josef de Aranda, Maestrantes de Ronda y Granada, que á sus expensas sostienen la casa de labor y piedad, donde continuamente,asisten ancianos, enfermos habi</t>
  </si>
  <si>
    <t>de Viiianueva, Nicolás</t>
  </si>
  <si>
    <t>Nicolás de Viiianueva</t>
  </si>
  <si>
    <t>edral de Valladolid de Mechoacan, vacante por traslación á otra Ración de la catedral de Durango de D. Nicolás de Viiianueva , al Medio-Racionero D. Agustín Valerio González; y para esta resulta á D. Juan Josef de Michilena , Gura del Sagrarlo de Mechoacan. En el regimiento de Milicias disciplinadas de</t>
  </si>
  <si>
    <t>de Viliagrasa, Antonio</t>
  </si>
  <si>
    <t>Antonio de Viliagrasa</t>
  </si>
  <si>
    <t>nongía de la metropolitana de Zaragoza, vacante por fallecimiento de D. Juan Francisco de Aibear, á D. Antonio de Viliagrasa; y para un Beneficio de la metropolitana de Tarragona, vacante por muerte de D. Tablo Espinach, á D. Josef Pujol y Palmer ola. Ei Rey se ha servido conceder en los regimientos de</t>
  </si>
  <si>
    <t>de Villalba, Francisco</t>
  </si>
  <si>
    <t>Francisco de Villalba</t>
  </si>
  <si>
    <t>lmente premios á los practicantes mas aprovechados, comisionó la junta á sus Consiliarios los Sres. D. Francisco de Villalba y D. Josef Martínez de Bustos para presidir las oposiciones de los aspirantes, que han sido 16.__ Un numeroso concurso ha presenciado esta prueba pública de la constante aplicación y</t>
  </si>
  <si>
    <t>de Villalonga, Ramón</t>
  </si>
  <si>
    <t>Ramón de Villalonga</t>
  </si>
  <si>
    <t>niente de Rey de la plaza de la Havana, y Cabo subalterno del Capitán general de la isla de Cuba ,á D. Ramón de Villalonga, Coronel del Real Cuerpo de Ingenieros del pasado. El Consejo, á consulta de la Comisión gubernativa de Consolidación de Vales , y con aprobación de S. M., na acordado la sexágesi</t>
  </si>
  <si>
    <t>de Villanueva y Goycoa, Francisco Xavier</t>
  </si>
  <si>
    <t>Francisco Xavier de Villanueva y Goycoa</t>
  </si>
  <si>
    <t>zco, á D. Pedro. Izquierdo; y para la Capellanía Real que este obtiene en la catedral de Pamplona á D. Francisco Xavier de Villanueva y Goycoa. S. M. ha promovido á Brigadier de caballería de sus exércítos al Coronel D. Tomas de Zerain, Teniente de Caballerizo de las Reales Caballé r izas de la ciudad de Córdoba; y ha co</t>
  </si>
  <si>
    <t>de Villanueva, Joaquín</t>
  </si>
  <si>
    <t>Joaquín de Villanueva</t>
  </si>
  <si>
    <t>n la tienda del Rubio; y en Cádiz en casa de 0. Manuel Navarro. Ano Cristiano de España, por el 0r. D. Joaquín de Villanueva, en 13 tomos en 8.° marquilla, incluso el de índice general: su precio en pergamino 214 rs., y 240 en pasta, Contiene el Martirologio en castellano; noticia de Jas festividades de</t>
  </si>
  <si>
    <t>de Villanueva, Martín</t>
  </si>
  <si>
    <t>Martín de Villanueva</t>
  </si>
  <si>
    <t>con su cámara separada de dicha casa, pero contiguo á ella. Quien quisiere hacer postura acudirá á D. Martin de Villanueva, Procurador de los Reales Consejos, que vive ert la calle delPríncipe, ésqtiiná á^la dé la Lechuga, quien la admitirá, y efectuará la venta. ■ ■ :‘ : ■'' : ■ ••• ' A voluntad de s</t>
  </si>
  <si>
    <t>de Villapol, Manuel</t>
  </si>
  <si>
    <t>Manuel de Villapol</t>
  </si>
  <si>
    <t>o D. Isidro de la Osa. Asimismo ha nombrado S. M. para la primera Ayudantía de la plaza de Cumaná á D. Manuel de Villapol, segundo Ayudante de las milicias de blancos de aquella provincia; y para la segunda Ayudantía de la referida plaza á D. Matías López, Garzón de las de pardos:• para el empleo de</t>
  </si>
  <si>
    <t>de Viruega, Juan</t>
  </si>
  <si>
    <t>Juan de Viruega</t>
  </si>
  <si>
    <t>Sargento mayor del regiiniento de infantería Provincial de Celaya, en el rey no de N va- hspaña, á D. Juan de Viruega, Capitán de la segunda compañía de Voluntarios de Cataluña del mismo reyno. Asimismo ha conferido el Rey el empleo de Sargento mayor del fuerte de S. Carlos dei Perote, en el reyn</t>
  </si>
  <si>
    <t>de Viüanueva, Francisco Xavier</t>
  </si>
  <si>
    <t>Francisco Xavier de Viüanueva</t>
  </si>
  <si>
    <t>uel Carrasco y Robredo; y para la Capellanía Real de lá Catedral de Pamplona, vacante por muerte de Don Francisco Xavier dé Viüanueva á D. Luis Chavier. S. M. se ha servido nombrar para el Benefició de la Parroquial de San</t>
  </si>
  <si>
    <t>de ViUanueva, Manuel</t>
  </si>
  <si>
    <t>Manuel de ViUanueva</t>
  </si>
  <si>
    <t>les Reales de 200 pesos, el uno de la creación de Setiembre, número 39,880, endosado ¿ su favor por D. Manuel de ViUanueva, en 5 de.Mayo último; y el otro de la de Mayo, núm. 486,106, endosado también á su favor por Francisco España, el 8 del propio mes. Quien supiere del paradero de ellos , lo avisar</t>
  </si>
  <si>
    <t>de Vülena, Rafael Manuel</t>
  </si>
  <si>
    <t>Rafael Manuel de Vülena</t>
  </si>
  <si>
    <t>id 11 de Mayo. El Rey se ha servido conferir Compañía en el regimiento de infantería del Príncipe á D. Rafael Manuel de Vülena , Capitán agregado al mismo cuerpo: Subtenencia de bandera en el segundo batallón de Voluntarios de Aragón al Sargento primero D. Miguel Lamata; y Subtenencia de granaderos en el</t>
  </si>
  <si>
    <t>de Woronzow, Conde</t>
  </si>
  <si>
    <t>Conde de Woronzow</t>
  </si>
  <si>
    <t>mpleo el Conde de Strogonow, agregado al Ministro de lo Interior. Dícese que el Conde de Woronzow, Ministro de Negocios extrangeros,que está ausente con licencia, tiene orden de volver á esta capital. La leva de un hombre por cada 500, que acaba de 'mandarse, es la que se executa todos</t>
  </si>
  <si>
    <t>de Xlaguno, Juan</t>
  </si>
  <si>
    <t>Juan de Xlaguno</t>
  </si>
  <si>
    <t>sde 11 del corriente mes de Abril. En conformidad de lo acordado por los acreedores á la quiebra de D. Juan de Xlaguno en la junta general que celebraron en 27 de Mayo de 1803 , está mandado por providencias del Sr. Alcalde de la Real casa y corte que conoce de ella, D. Alfonso Duran y Barazabal, se</t>
  </si>
  <si>
    <t>de Yriarte, Tomás</t>
  </si>
  <si>
    <t>Tomás de Yriarte</t>
  </si>
  <si>
    <t>ímicos de la análisis general de las aguas: un tomo en 4.% á 25 rs. en pasta. La Música, poema, por D. Tomas de Yriarte: un tomo en 8.® marquilla, con 6 estampas dibuxadas y grabadas por hábiles profesores, á 40 rs. en pasta. Se hallarán en el despacho de la imprenta Real.</t>
  </si>
  <si>
    <t>de Zafra, Juan</t>
  </si>
  <si>
    <t>Juan de Zafra</t>
  </si>
  <si>
    <t>D. Gerónimo Rengel: Tenencias en el de Extremadura a los Subtenientes de granaderos D. Pedro Sosa, D. Juan de Zafra y D. Josef Romero ; y Subtenencias de bandera en los de la Reyna, Corona, Ordenes Militares y Voluntario de la Corona á los Sargentos primerosD. Antonio Guzman,Don Francisco Galan , D</t>
  </si>
  <si>
    <t>de Zamacola, Juan Antonio</t>
  </si>
  <si>
    <t>Juan Antonio de Zamacola</t>
  </si>
  <si>
    <t>uncq^ del Consejo; de S. M., y Alcalde de su Real casa y corte, y por la escribanía de provincia de D Juan Antonio de Zamacola, penden los autos de abintestato de D. Juan de Arévalo, vecino que fué de esta corte, en los que se ha mandado que las personas que tengan derecho á los bienes de dicho abintestat</t>
  </si>
  <si>
    <t>Otero, acudan d usar de él por la audiencia del nominado Sr. Alcaide, y escribanía de provincia de D. Juan Antonio de Zamacola, dentro del término de 30 dias contados desde el 20 del presente, con prevención de que el que en él no hubiese comparecido le parará el perjuicio que haya lugar. A voluntad de su</t>
  </si>
  <si>
    <t>sta mayor del Rey Felipe n, autor de las Décadas de Indias y de otras muchas obras, que los publica D. Juan Antonio de Zamacola. Es tan notorio el mérito de este grande hombre en su profunda erudición, juicio sólido, elegancia de estilo , política consumada, zelo patriótico y pureza de lenguage, que es oci</t>
  </si>
  <si>
    <t>el término de 30 dias, contados desde el 11 del presente, pór la escribanía de provincia que exerce D. Juan Antonio de Zamacola; en la inteligencia que no se admitirá alguna en menor cantidad que la referida. A conseqiiencia de lo resuelto por la Comisión gubernativa de consolidación de vales Reales, y á v</t>
  </si>
  <si>
    <t>ivo, y se halla señalado para su remate el 4 de Diciembre próximo por la escribanía de provincia de D. Juan Antonio de Zamacola. Variedades de ciencias, literatura y artes, núm. 11 , qqp contiene los artículos siguientes: la noticia de una obra nueva de Mr. Alibert; la descripción de unas antiguas minas si</t>
  </si>
  <si>
    <t>de Zarate, Pedro</t>
  </si>
  <si>
    <t>Pedro de Zarate</t>
  </si>
  <si>
    <t>cumplidor de la que en el convento de la Victoria de esta corte fundó Fernando de Segura y Puebla; D. Pedro de Zarate, mercader de joyería en esta villa, y D. Pedro de la Bórdeta, del comercio de ella, no obstante de las exactas diligencias practicadas en su busca é indagación, como de las person</t>
  </si>
  <si>
    <t>de Zavala y Zamora, Gaspar</t>
  </si>
  <si>
    <t>Gaspar de Zavala y Zamora</t>
  </si>
  <si>
    <t>lle de Alcalá. Matilde de Orleim: comedia en tres actos, traducida y arreglada á nuestro teatro por D. Gaspar de Zavala y Zamora. Se hallará á 2 rs. en ríística en la librería de Gómez Fuentenebro y compañía, calle de las Carretas. Célebre pieza nueva de música para dos guitarras, en ocasión á la exaltación</t>
  </si>
  <si>
    <t>de Zayas, Francisco</t>
  </si>
  <si>
    <t>Francisco de Zayas</t>
  </si>
  <si>
    <t>y á D. Joaquín Rodríguez de Are llano: en el de Cantabria á D. Josef Armiñan: en el de Asturias á 'D. Francisco de Zayas: en el de Navarra á D. Manuel Mendoza y D. MigueFRuano: en el de Aragón á D. Pedro Gacet, y al de igual clase del de España D. Luis Coquelin: en el de América á Don Francisco Vizc</t>
  </si>
  <si>
    <t>de Zerain, Tomás</t>
  </si>
  <si>
    <t>Tomás de Zerain</t>
  </si>
  <si>
    <t>oa. S. M. ha promovido á Brigadier de caballería de sus exércítos al Coronel D. Tomas de Zerain, Teniente de Caballerizo de las Reales Caballé r izas de la ciudad de Córdoba; y ha concedido grado de Alférez de Milicias á D. Luis Cabrera, Castellano del castillo principal de S. Josef d</t>
  </si>
  <si>
    <t>de Zirchy, Conde</t>
  </si>
  <si>
    <t>Conde de Zirchy</t>
  </si>
  <si>
    <t>al Conde de Ugarte, actual Canciller de Bohemia y de Austria; y del segundo al Conde de Zirchy, Ministro de Hacienda. El Archiduque Ranerio Josef será Ministro directorial, y tendrá por agregado al Conde de Chorek. La Cámara de hacienda se incorporará otra vez con la Cámara áulica, y</t>
  </si>
  <si>
    <t>de Zubiaga, Manuel Vicente</t>
  </si>
  <si>
    <t>Manuel Vicente de Zubiaga</t>
  </si>
  <si>
    <t>o de la plaza de Glivencia: para ei de S. Pedro de la ciudad de Avila, vacante por fallecimiento de D. Manuel Vicente de Zubiaga, á D. Joaquín Melgarejo Delgado: para el Préstamo de la parroquial de Sta. María de Perandones, en ei Concejo de Cangas de Tineo, diócesis de Oviedo, vacante por fallecimiento de</t>
  </si>
  <si>
    <t>Decaen, General</t>
  </si>
  <si>
    <t>General Decaen</t>
  </si>
  <si>
    <t>de las numerosas piraterías cometidas por los ingleses. La anarquía habia cesado en la colonia. El General Decaen manifestó el carácter de Capitán General; el 'Comisario ordenador Leger el de Prefecto colonial, y el General Malagon el de Comandante de la isla de la Reunión. Las milicias se ha</t>
  </si>
  <si>
    <t>3°(5 La esquadra se hallaba en el mejor estado, y el pequeño cuerpo de tropas mandado por el General Decaen en buena salud. La noticia del arribo de una esquadra francesa á la India habia colmado de alegría y de esperanzas á los habitantes de aquella inmensa península, que gimen baxo un y</t>
  </si>
  <si>
    <t>nos transportes con 2© hombres, destinados, según se suponía, á la Isla de Francia. El Gobierno del General Decaen en aquella colonia no era muy popular, y el descontento que habia ex</t>
  </si>
  <si>
    <t>Decature, Capitán</t>
  </si>
  <si>
    <t>Capitán Decature</t>
  </si>
  <si>
    <t>do, desde la bahía de Siracusa, al Cónsul de los mismos estados en esta plaza, que de su orden , el Capitán Decature y 70 marineros americanos, conducidos en el ketch Intrépido, comprado al intento , y armado coh 4 •canonesen aquella bahía , salió de ella, y se dirigió á la de Trípoli,donde -entró</t>
  </si>
  <si>
    <t>Decker, Almirante</t>
  </si>
  <si>
    <t>Almirante Decker</t>
  </si>
  <si>
    <t>uertos de esta República, y en especial lo concerniente al comercio ilícito con Inglaterra. El V¡ce-Almirante Decker, que viene dtl Cabo de Buena-E’peranza con un convoy de las Indias Orientales, ha tocado en un puerto de Portugal, y dentro de poco llegará al Texel. jHaya 6 de Octubre» En una de</t>
  </si>
  <si>
    <t>Degerando</t>
  </si>
  <si>
    <t>s arbitrarios, es denotar una rivalidad despreciable y una ingratitud perjudicial á la eqjulacion.” Mr. Degerando, miembro asociado del Instituto, ha sido nombrado Secretario general del Ministerio de lo Interior. ESPAÑA. Madrid jo de Noviembre. El Rey se ha servido nombrar para el Areedianat</t>
  </si>
  <si>
    <t>Degres, Antonio María</t>
  </si>
  <si>
    <t>Antonio María Degres</t>
  </si>
  <si>
    <t>Subtenencias de bandera en el de León al Cadete del Real cuerpo de Ingenieros Cosmógrafos de Estado D. Antonio María Degres: en: el de Cantabria al Cadete del cuerpo veterano de infantería de Maracaybo D. Mariano Luzardo; y en el ae Extremadura al Cadete del mismo regimiento D. Josef María López Loarte</t>
  </si>
  <si>
    <t>Dekker, Almirante</t>
  </si>
  <si>
    <t>Almirante Dekker</t>
  </si>
  <si>
    <t>a la noticia de haber llegado en buen estado del Cabo de Buena-Esperanza á un puerto de Portugal el Almirante Dekker con su convoy. SUIZA. Zurich 28 de Setiembre. El Cantón de Schwitz ha hecho al nuestro la propuesta de contribuir en parte á los gastos de un nuevo camino real, que irá derecho de</t>
  </si>
  <si>
    <t>1078 HOLANDA. Haya 2 de Noviembre. El Vice-Almirante Dekker ha sido preso al dia siguiente de su llegada del Cabo de Buena- Esperanza, por orden del Consejo de la Marina, P°5 haber dexado el mando de la esquadra nacional sin consentimiento</t>
  </si>
  <si>
    <t>del Aguila Chaves, Ramón</t>
  </si>
  <si>
    <t>Ramón del Aguila Chaves</t>
  </si>
  <si>
    <t>a, qué en la diócesis de Srgüénza se halla vacante algunos años ha, según ha expuesto el Obispo , á D. Ramón del Aguila Chaves, Capellán de coro de la Real capilla de S. M.^ y p2ra otro llamado de las Once mil 1 * - 1 nr - —* ~ tvivi awé'A Í4 ^ T\ rN *v Vírgenes, en la metropolitana de Tarragona, vacante</t>
  </si>
  <si>
    <t>del Aguila, Andrés</t>
  </si>
  <si>
    <t>Andrés del Aguila</t>
  </si>
  <si>
    <t>ara el Beneficio simple de Antequera, diócesis de Málaga, vacante por muerte de D. Josef Yéregui, á D. Andrés del Aguila. A D. Joaquín Riquelme, Catedrático de matemáticas en Cádiz, se han extraviado 2 vales Reales de 200 pesos, el uno de la creación de Setiembre, número 39,880, endosado ¿ su favor</t>
  </si>
  <si>
    <t>del Barco, Pedro</t>
  </si>
  <si>
    <t>Pedro del Barco</t>
  </si>
  <si>
    <t>Josef IVÍo ota lleda , D. Joaquín Camacho, Don Juan Martínez, D. Ramón Amaya , E3. JflosefSuarez , D. Pedro del Barco, D. Pedro Nuñez, D. Manuel Kcdriggn§^&lt;» D. Juan Josef Murrieta, Don Francisco Spínola, D. Juan Ulloa., D. M-sariin Oarrichena , D. Manuel Bacaro, D. Antonio Bovadilla, D. Migu«i(l</t>
  </si>
  <si>
    <t>del Barrio, Felipe</t>
  </si>
  <si>
    <t>Felipe del Barrio</t>
  </si>
  <si>
    <t>amá, en la América meridional, se da este aviso, á fin de que los interesados puedan acudir á dicho D. Felipe del Barrio, con la competente justificación. En la ciudad de Buenos-Ayres, en 25 de Enero de 1799, falleció D. Lorenzo Cristino Real, y mandó que á su hermano D. Matías Real se le diesen de</t>
  </si>
  <si>
    <t>del Barrio, Rafael</t>
  </si>
  <si>
    <t>Rafael del Barrio</t>
  </si>
  <si>
    <t>on del Valle» ,D. Josef María Dana» D. Josef Gortines , DvVicente Sancheg, !&gt;•' Joaquín de la Cruz, Don Rafael del Barrio , D. Joaquín Viado, D. Ignacio OrdoVas, D. Luis Cantío Montenegro y D. Miguel Santiilana. Por el Exento. £r. Conde de Montarco , Gobernador del Consejo, se ha comunicado &gt; con fec</t>
  </si>
  <si>
    <t>del Burgo y Munilla, Manuel</t>
  </si>
  <si>
    <t>Manuel del Burgo y Munilla</t>
  </si>
  <si>
    <t>n concederle $u jubilación ¿con ¿todos sus goces, y en nombrar para sucederle en dicha Secretaría á D. Manuel del Burgo y Munilla , del Consejo de S. M. , su Secretario con exercicio de decretos, y Oficial mayor mas antiguo de la Secretaría de Estado y del ©espacho universal de la Real Hacienda de España, co</t>
  </si>
  <si>
    <t>del Busto, Ángel</t>
  </si>
  <si>
    <t>Ángel del Busto</t>
  </si>
  <si>
    <t>e mayor de la villa de Socuéllamos á D. Joaquin de la Escalera: para la del Quintanar de la Orden á D. Angel del Busto: para la del Tomelloso á D. Josef Antonio Martínez del Corro: para la del Campo de Criptana á D. Gregorio Laredo Gil de Bernabé: para la de Villaescusa de Haro á D. Gregorio Sanch</t>
  </si>
  <si>
    <t>del Busto, Juan</t>
  </si>
  <si>
    <t>Juan del Busto</t>
  </si>
  <si>
    <t>graduado;, I). Santiago Echapparret, Don Cárlos Mauduit, D. Manuel Zulaetai) IK Antonio Berraondo, D. Juan del Busto, D. Josef Quiroga, D. Dieggo* Venegas, D. Ventura Gutiérrez de Bustillo, D. Josef Roso, D. Joaquínu Aróstegui, D. Joaquín Ibañez de Corvera, D* Josef Valdasano, Dj, Manuel de Caña</t>
  </si>
  <si>
    <t>del Campo, Agustín</t>
  </si>
  <si>
    <t>Agustín del Campo</t>
  </si>
  <si>
    <t>Rey promover á Exento de numero al supernumerario Duque de Ribas, y á supernumerarios al Brigadier D. Agustín del Campo y al Cadete Marques de Cerralbo ; á Brigadier al Subrigadier D. Francisco Oviedo; á Subrigadier al Cadete D. Joseph Quiñones; á'Cadetes de número al supernumerario D. Francisco Sanz</t>
  </si>
  <si>
    <t>del Campo, Miguel</t>
  </si>
  <si>
    <t>Miguel del Campo</t>
  </si>
  <si>
    <t>8°7 de Barros á D. Miguel del Campo, Capitán del regimiento dé dragones de España, fixo del mismo reyno. Al Coronel D. Juan María de Soto, Teniente Coronel del regimiento de infantería de Puebla, se ha servido el Re</t>
  </si>
  <si>
    <t>del Castillo Mier, Manuel</t>
  </si>
  <si>
    <t>Manuel del Castillo Mier</t>
  </si>
  <si>
    <t>s demas pueblos de aquellas inmediaciones. Quien quisiere.hacer pretensión; dirija lps memoriales á D. Manuel del Castillo Mier, Cura y Arcipreste de aquella ¡villa, como patrono, en todo el presente mes de Enero, en que se proveerá. Se halla vacante la plaza de Cirujano titular de la villa de Tembleque, p</t>
  </si>
  <si>
    <t>del Castillo y Betancourt, Pedro</t>
  </si>
  <si>
    <t>Pedro del Castillo y Betancourt</t>
  </si>
  <si>
    <t>lo y Betancourt; y habiendo fallecido este antes de posesionarse de la citada Ración, ha nombrado á D. Pedro del Castillo y Betancourt. En la Compañía Italiana dei Real Cuerpo de Guardias de Corps ha promovido S. M. á Cadete de número al Supernumerario D. Fernando Butrón; y á Supernumerario al Guardia D. Toribio</t>
  </si>
  <si>
    <t>del Castillo, Ángel</t>
  </si>
  <si>
    <t>Ángel del Castillo</t>
  </si>
  <si>
    <t>antías eii los de Sevilla y Extremadura á los Tenientes graduados de Capitán D. Antonio Domínguez y D. Angel del Castillo: Tenencia en el de Voluntarios de la Corona al Teniente agregado D. Juan Blake; y Subtenencias de bandera en el de Zamora al Sargento primero de granaderos D. Cayetano Daniel, y e</t>
  </si>
  <si>
    <t>del Castillo, Felipe</t>
  </si>
  <si>
    <t>Felipe del Castillo</t>
  </si>
  <si>
    <t>Supl., p. 14</t>
  </si>
  <si>
    <t>exác* ÍOS* •, r rr r. . ■ '".‘j firr n &lt; j X^KJJiS NOTICIAS, HIDROGRAFICAS. /f iJí í Mar Atlántico. Don Felipe del Castillo , Capitán y Piloto del Comercio., lía dado aviso deque , navegando de Véracruz áCádiz en la fragata Constante, vio el dia 8 de Mayó-de 803 un baxo de arena de corta extensión , qu</t>
  </si>
  <si>
    <t>del Castillo, Manuel</t>
  </si>
  <si>
    <t>Manuel del Castillo</t>
  </si>
  <si>
    <t>Valcárcel, D. Antonio Díaz de Córdoba , D. Salvador Clavijo, D. Josef Julián, D. Francisco Topete, D. Manuel del Castillo, D. Vicente María Saavedra, D. Miguel Montemayor, D. Antonio Ausejo, D. Martin de Mendoza, D. Felipe Ibargiien, D. Francisco Solís, D. Josef Pasalagua, D. Diego de Aguirre, D. Vic</t>
  </si>
  <si>
    <t>del Castillo, Miguel</t>
  </si>
  <si>
    <t>Miguel del Castillo</t>
  </si>
  <si>
    <t>rvido conferir Compañía en el Regimiento de infantería de Sevilla al Ayudante, graduado de Capitán, D. Miguel del Castillo: Tenencias en el de Valencia á los Subtenientes de granaderos Don Francisco dei Rio y D. Pedro Venero: en el de America al Subteniente D. Juan Manuel de Blas: Subtenencias de band</t>
  </si>
  <si>
    <t>del Cerro, Francisco</t>
  </si>
  <si>
    <t>Francisco del Cerro</t>
  </si>
  <si>
    <t>............ 141-25 Francisco del Cerro............. Puebla de Montalban— 14 Manuel Zaonero.................. Junquera........................... 141-25 Lázaro Arbañil.............</t>
  </si>
  <si>
    <t>del Corral, Manuel</t>
  </si>
  <si>
    <t>Manuel del Corral</t>
  </si>
  <si>
    <t>Teniente en el de cazadores de Pavía á D. Josef Montero; y á Ayudante del de Húsares Voluntarios á D. Manuel del Corral. Para el Gobierno de la plaza de Rosas ha nombrado S. M. al Coronel D. Josef .de Gambara, Capitán de granaderos del regimiento de infantería dé Sevilla; y para el Gobierno del cas</t>
  </si>
  <si>
    <t>del Junco, Manuel María</t>
  </si>
  <si>
    <t>Manuel María del Junco</t>
  </si>
  <si>
    <t>ado brillante en los mismos 677145 rs. en vales Reales que se ha admitido, y mandado en auto del Sr.D. Manuel María del Junco,sucesor del Sr. Marquína, de 21 de Marzo próximo se vuelva á subastar por otros 30 dias mas: lo que se hace saber al público para que las personas que quieran hacer mejora á la ci</t>
  </si>
  <si>
    <t>del Mármol y Doña, Gabriel</t>
  </si>
  <si>
    <t>Gabriel del Mármol y Doña</t>
  </si>
  <si>
    <t>atro sobrinos carnales D. Miguel, D. J ose f, D. Antonio y D. Manuel d‘ei Mármol y Tajúa-, hijos de D. Gabriel del Mármol y Doña</t>
  </si>
  <si>
    <t>del Mazo, Francisco</t>
  </si>
  <si>
    <t>Francisco del Mazo</t>
  </si>
  <si>
    <t>D. Isidro la Mata, D. Juan García Paredes y D. Manuel Arnaiz; y á Capitanes primeros á los segundos D. Francisco del Mazo,D. Francisco de Ley va y D. Vicente Ferrandez. En el Real cuerpo de Ingenieros del exército ha promovido S. M. á Capitanes primeros á IX Luis Valanzat, D. Juan Palomino y D. Nazar</t>
  </si>
  <si>
    <t>del Moral, Benito</t>
  </si>
  <si>
    <t>Benito del Moral</t>
  </si>
  <si>
    <t>erpos D. Francisco Davan, d,e granaderos , D. Manuel Espatolero,D. Carlos Sevilla, de granaderos, y D. Benito del Moral: Tenencia de granaderos en el regimiento Suizo , vacante de Yarm, ai de fusileros, D. Melchor Risy ; y Subtenencia en el ambulante de Ruttiman al Cadete D. Octaviano Taydit de Ter</t>
  </si>
  <si>
    <t>del Pino, Manuel</t>
  </si>
  <si>
    <t>Manuel del Pino</t>
  </si>
  <si>
    <t>nte Coronel, D. Antonio Tejada y Otalora y D. Joaquín Cáceres; á Capitanes segundos á los Tenientes Don Manuel del Pino, D. Felipe Luengo, D. Manuel Bequer , D. Josef Saravia y D. Joaquín Góngora, y á Tenientes á los Subtenientes D. Bartolomé Gutiérrez, D. Francisco Campo Redondo, D. Antonio Rodrig</t>
  </si>
  <si>
    <t>del Pino, Miguel</t>
  </si>
  <si>
    <t>Miguel del Pino</t>
  </si>
  <si>
    <t>Ayres se ha dignado el Rry promover á Subtenientes de bandera á los Cadetes Don Bartolomé. Pizarro, D. Miguel del Pino, y D. Wenceslao del Pino, y á los Sargentos primeros D. Josef Molina , y D. Agustín Saumingue. Asimismo en el regimiento de dragones de México se ha servido S. M. promover á Tenie</t>
  </si>
  <si>
    <t>del Pollo Sagasti, Joaquín</t>
  </si>
  <si>
    <t>Joaquín del Pollo Sagasti</t>
  </si>
  <si>
    <t>ancisco Leceta, D. Manuel Ocarol, Dv x\ntonio Magadan, D. Norberto de Mella, D. Juan de Bnstamante, D. Joaquin del Pollo Sagasti, D. Pedro Negréte, D. Manuel Abreü , D. Ignacio del Valle, D. Josef de Santiago, D'. Joaquin Fernandez, D. Bernardo Meruendano, D. Josef del Hoyo,D. Francisco de Murías, D. Marian</t>
  </si>
  <si>
    <t>del Puerto, Juan Nepomuceno</t>
  </si>
  <si>
    <t>Juan Nepomuceno del Puerto</t>
  </si>
  <si>
    <t>uella diócesis: para otra de la de Santander , vacante por fallecimiento de D. Juan de’San.Pedro, á D. Juan Nepomuceno del Puerto, Cura de la misma catedral: para un Benéfico simple de Tórrehermosa, qué en la diócesis de Srgüénza se halla vacante algunos años ha, según ha expuesto el Obispo , á D. Ramón del</t>
  </si>
  <si>
    <t>del Rey, Francisco</t>
  </si>
  <si>
    <t>Francisco del Rey</t>
  </si>
  <si>
    <t>Miralles , D. Josef Chacón y D. Pedro Orduña; á Capitanes segundos á los Tenientes D. Luis Negron, D. Francisco del Rey y D. Miguel Baños López; y á Tenientes á ios Subtenientes D. Manuel Autran y D. Josef Almela. En el Regimiento de caballería de línea del Rey se ha servido S. M. promover á Alférez ai</t>
  </si>
  <si>
    <t>del Rio, Manuel</t>
  </si>
  <si>
    <t>Manuel del Rio</t>
  </si>
  <si>
    <t>e Artillería se ha servido el R ey ascender á Capitanes primeros á los segundos D. Carlos Espinosa, D. Manuel del Rio, D. Mariano Osorio y D. Vicente Novella: habiendo también promovido S. M. á Comisario de Guerra del exército y del departamento de Artillería de Cartagena á D. Antonio Biezma, Com</t>
  </si>
  <si>
    <t>del Riosoto y Espino, Antonio</t>
  </si>
  <si>
    <t>Antonio del Riosoto y Espino</t>
  </si>
  <si>
    <t>guera, D. [oaquin Aguado y Cañas , D. Ramón Palacio y San Cristóbal, D. Mateo Hernández de Urcullo, D. Antonio del Riosoto y Espino, D. Josef Graces y Graces, D. Manuel Montesoro y Moreno , D. Ramón Ibañez Lo</t>
  </si>
  <si>
    <t>del Rivero, Juan</t>
  </si>
  <si>
    <t>Juan del Rivero</t>
  </si>
  <si>
    <t>á Teniente de granaderos al de fusileros D. Tomas Carrillo; á Teniente de fusileros al Subteniente D. Juan del Rivero, y á Subteniente de bandera al Cadete D. Juan Padrón. En el Real establecimiento formado en esta corte,calle de las tres Cruces, casa núm. 4, para la instrucción pública en el imp</t>
  </si>
  <si>
    <t>del Rosal, Gerónimo Ignacio</t>
  </si>
  <si>
    <t>Gerónimo Ignacio del Rosal</t>
  </si>
  <si>
    <t>ra la Canongía que en la iglesia metropolitana de Sevilla ha resultado vacante por fallecimiento de D. Gerónimo Ignacio del Rosal, á D. Josef Alcaráz y Campillo , Capellán del primer batallón del regimiento de infantería de Mallorca, en consideración á sus servicios , y conforme al reglamento de 30 de Enero</t>
  </si>
  <si>
    <t>del Seyxo, Vicente</t>
  </si>
  <si>
    <t>Vicente del Seyxo</t>
  </si>
  <si>
    <t>ministerio del pulpito: su autor el Excmo. Fr. Manuel deí Cenáculo, Obispo de Beja: traducidas por D. Vicente del Seyxo: 2 tomos en 4.0 Véndese en la librería de Montero, calle de la Concepción. Experimentos acerca de la digestión en el hombre, y en diversas especies de animales: obra dada á luz en</t>
  </si>
  <si>
    <t>del Tejo, Tomás Antonio</t>
  </si>
  <si>
    <t>Tomás Antonio del Tejo</t>
  </si>
  <si>
    <t>a el Beneficio rural de Alocas y Gómez Cardeña, en ei arzobispado de Sevilla, vacante por muerte de D. Tomas Antonio del Tejo, á D. Alfonso Gasque; y para el Beneficio de la villa de Villalar, en el obispado de Zamora* vacante por fallecimiento de D. Josef Rodríguez del Castillo, á D. Andrés Diez y Muñoz</t>
  </si>
  <si>
    <t>del Trell, Pedro Ángel</t>
  </si>
  <si>
    <t>Pedro Ángel del Trell</t>
  </si>
  <si>
    <t>por promoción de D. Josel Vriu á Canongía de aquella Iglesia, y no haber acudido á sacar ei título D. Pedro Angel del Trell, á quien nombró por decreto de 29 de Mayo del año</t>
  </si>
  <si>
    <t>del Valle, Gerónimo</t>
  </si>
  <si>
    <t>Gerónimo del Valle</t>
  </si>
  <si>
    <t>ra, también Car-* denalicia, de la propia iglesia, vacante por fallecimiento de D. Mateo Vázquez, á D. Gerónimo del Valle, Abad y Cura Rector de S. Martin de Villarubin y sus anexos, en la misma diócesis de Orense: para una Ración de la colegial de Roa, diócesis de Osma, vacante por promoción de D. M</t>
  </si>
  <si>
    <t>del Valle, Ignacio</t>
  </si>
  <si>
    <t>Ignacio del Valle</t>
  </si>
  <si>
    <t>de Mella, D. Juan de Bnstamante, D. Joaquin del Pollo Sagasti, D. Pedro Negréte, D. Manuel Abreü , D. Ignacio del Valle, D. Josef de Santiago, D'. Joaquin Fernandez, D. Bernardo Meruendano, D. Josef del Hoyo,D. Francisco de Murías, D. Mariano Leones, D. Josef Nuñez, D. Francisco Enrile, D. Juan Gai</t>
  </si>
  <si>
    <t>del Valle, Tomás</t>
  </si>
  <si>
    <t>Tomás del Valle</t>
  </si>
  <si>
    <t>uial de S. Andrés de la villa de Cuellar , en el obispado de Segovia , vacante por fallecimiento de D. Tomas del Valle, y por no haber tenido efecto el nombramiento hecho en D. Manuel Burgos, á D. Luis Saenz Perez , con carga de residencia , ayudar al Párroco y otras. El Rey se ha servido conceder</t>
  </si>
  <si>
    <t>del Vigo, Francisco Ramón</t>
  </si>
  <si>
    <t>Francisco Ramón del Vigo</t>
  </si>
  <si>
    <t>l Deanato, primera silla de la Catedral de Palencia, vacante por fallecimiento de D. Pedro Bayon, á D. Francisco Ramón del Vigo, Canónigo de la misma: para una Ración de la Colegial de Soria, en la Diócesi de Osma, vacante por promoción de D. luán Antonio Ruiz á Canongía de ella, á D. Wenceslao Serrano, Cu</t>
  </si>
  <si>
    <t>del Zano, Juan</t>
  </si>
  <si>
    <t>Juan del Zano</t>
  </si>
  <si>
    <t>onferencias del Abad Raneé de la Trapa en 4 tomos en 8.° El seno de Abraham: poema en 3 cantos, por D. Juan del Zano, Abogado de los Reales Consejos y del ilustre colegio de Zaragoza: un tomo en 8.° Se hallará en la librería de la viuda é hijo de Quiroga , calle de las Carretas. Estampa que repr</t>
  </si>
  <si>
    <t>Delalande</t>
  </si>
  <si>
    <t>o de 1806. El premio será una medalla de oro de un kilograma. Ei premio de astronomía propuesto por Mr. Delalande, sobre la observación mas interesante, ó la memoria mas útil á los progresos de la astronomía, ha sido adjudicado á Mr. Piazzi, astrónomo de Palermo, conocido por el descubrimient</t>
  </si>
  <si>
    <t>Delambre</t>
  </si>
  <si>
    <t>arración. Mr. de Humboldt escribió, con fecha, de 29 de Julio de 1S03 , desde lá ciudad de México á Mr. Delambre á Taris, enviándole determinada la situación de las ciudades de México y de Acapulco¿ executada por él mismo, con quien ya había estado en Acapulco. Su última carta de Valladolid</t>
  </si>
  <si>
    <t>Delattre</t>
  </si>
  <si>
    <t>, en que manifiesta haber nombrado para Qiiestores del Cuerpo legislativo á los ciudadanos Delattre, Jacopín, Viennot-Vaublanc y Terrasson, de los doce candidatos propuestos por el Cuerpo legislativo^ ■ ESPAÑA. ó Granada i.° de Febrero. Las cartas de Melilla</t>
  </si>
  <si>
    <t>Delgado Quadrillero, Bernardo</t>
  </si>
  <si>
    <t>Bernardo Delgado Quadrillero</t>
  </si>
  <si>
    <t>Becerril y D. Miguel Gallego de Gallego y Valcarcel. En atención á los méritos y circunstancias de D. Bernardo Delgado Quadrillero, Secretario de la Junta de Gobierno de las Reales obras y fábrica de Palacio nuevo, se ha servido S. M. concederle honores de Tesorero de exército. La Real Junta de Hospitales Gen</t>
  </si>
  <si>
    <t>do: para el Beneficio Préstamo de Valderas, en el Obispado de León, vacante por haber sido nombrado D. Bernardo Delgado Quadrillero para plaza de Oficial de la Secretaría de la Junta de fabrica del Real .palacio, á D. Isidro Bañuelos: para el Beneficio de la villa de Lebrija, en el Arzobispado de Sevilla, vaca</t>
  </si>
  <si>
    <t>Delgado y Moreno, Rafael</t>
  </si>
  <si>
    <t>Rafael Delgado y Moreno</t>
  </si>
  <si>
    <t>S. M. se ha dignado nombrar Subteniente de bandera del primer batallón de Voluntarios de Cataluña á D. Rafael Delgado y Moreno, Cadete del cuerpo veterano de infantería de Maracaybo. En el Real Cuerpo de Ingenieros del eixército se ha servido el Rey romover á Tenientes Coroneles á los Sargentos mayores de</t>
  </si>
  <si>
    <t>Delgado, Antonio</t>
  </si>
  <si>
    <t>Antonio Delgado</t>
  </si>
  <si>
    <t>D. Manuel Ordóñez; y en el de Guadalaxara Subtenencia de bandera al Sargento primero de granaderos D. Antonio Delgado. Para el Gobierno militar y político de la plaza de Málaga ha nombrado S. M. al Brigadier D. Jayme Moreno, Gobernador de la ciudad de Motril. En América. El Rey se ha servido nómb</t>
  </si>
  <si>
    <t>Demetrio Ortiz</t>
  </si>
  <si>
    <t>ld él caballero Seminarista D,. Antonio Palacio , compuesto por et Caiédifático de retórica el Lic. D. Demetrio Ortiz , á que se siguió el examenpúblico de doctrina cristiana é historia sagrada. Desde este dia continuaron en los sucesivos los certámenes de primeras letras., de gramática castellan</t>
  </si>
  <si>
    <t>Demidoff</t>
  </si>
  <si>
    <t>la escalera de palacio; cuyos individuos acogieron, como era debido, á los viageros: se asegura que Mr. Demidoff está en ánimo de erigir un obelisco en el parage en que ha caido el globo. ALEMANIA. Semlin 29 de Julio. El Plenipotenciario de la Puerta, Bekir-Baxá, llegó el 12 del corriente al c</t>
  </si>
  <si>
    <t>Demidoff, General</t>
  </si>
  <si>
    <t>General Demidoff</t>
  </si>
  <si>
    <t>on su descenso magestuosamente en medio de uno de los jardines mas hermosos de la Rusia, propio del General Demidoff. El globo cayó sobre las flores, frente á la escalera de palacio; cuyos individuos acogieron, como era debido, á los viageros: se asegura que Mr. Demidoff está en ánimo de erigir</t>
  </si>
  <si>
    <t>Denina</t>
  </si>
  <si>
    <t>despachado cartas convocatorias á todos los empleados públicos que deben asistir á esta ceremonia. Mr. Denina, natural de Turin, autor de las Revoluciones de Italia, de una Apología de España y de otras varias obras de literatura y de histeria, que acaba de llegar de Berlín á París, ha si</t>
  </si>
  <si>
    <t>Denis Browne</t>
  </si>
  <si>
    <t>anda, no seria menester mantener un exército de 28© hombres de centineia^para vigilar ah pueblo.” — Mr. Denis Browne, también miembro irlandés, replicó á Mr. Moore negando positivamente, que fuese necesario contener al pueblo irlandés con la fuerza militar. En el me mento en que se iba ¿ votar,</t>
  </si>
  <si>
    <t>Deogracias Cardenal</t>
  </si>
  <si>
    <t>uel de Orvaneja, D. Antonio Garayo, D. Josef de Alday, D. Josef de Iturralde, D. Bernardo Diosdado, D. Deogracias Cardenal, D. Feliciano de Guizaburuaga y D. Jcsef de Acevedo y Villaroel; habiendo conferido la penúltima plaza á D. Francisco Xavier de Amestoy, optando á la primera media, que este dexa,</t>
  </si>
  <si>
    <t>Deogracias Marroquin, Manuel</t>
  </si>
  <si>
    <t>Manuel Deogracias Marroquin</t>
  </si>
  <si>
    <t>stamo de ruencarral, en el arzobispado de Toledo, vacante por fallecimiento de D. Manuel Doblado, á D. Manuel Deogracias Marroquin, con dimisión de los dos Medios-Préstamos de Lozoya y Mazuecos, que obtiene en el mismo arzobispado: para estos dos Medios-Préstamos á D.Diego Cabello; y para el Beneficio simple</t>
  </si>
  <si>
    <t>Desalises, General</t>
  </si>
  <si>
    <t>General Desalises</t>
  </si>
  <si>
    <t>y el pobre enfermo llegó aquí en sana salud.” Por las ultimas noticias de la Jamayca se sabe que el General Desalises, uno! de los principales Tenientes de Santos Louverture, y actualmente el principal ge fe de los Negros de Santo Domingo, ha propuesto formalmente á nuestro- gobierno se establezc</t>
  </si>
  <si>
    <t>Designi, Antonio</t>
  </si>
  <si>
    <t>Antonio Designi</t>
  </si>
  <si>
    <t>Josef María de Andrade, Don Joaquín Bas, D. Juan Yañez, D. Mateo Collinghs,D. Josef Peña Carrillo, D. Antonio Designi y D. Juan Medina: y Subtenencias de bandera en los de España, Burgos, Uitonia y Borbon , á los Sargentos primeros D. Fernando Carrasco , D. Ignacio Bernardini y D. Eugenio Villásana;</t>
  </si>
  <si>
    <t>Desolles, General</t>
  </si>
  <si>
    <t>General Desolles</t>
  </si>
  <si>
    <t>arís para asistir á la coronarios del Emperador, y entregará interinamente el mando del exército al General Desolles. También dicen que dentro de 4 ó $ semanas saldrá para París el soldado mas antiguo de cada compañía para asistir á la coronación. Los cuerpos que tienen las banderas rotas, recib</t>
  </si>
  <si>
    <t>Despuig, Antonio</t>
  </si>
  <si>
    <t>Antonio Despuig</t>
  </si>
  <si>
    <t>Juan cerca de la santa Sede, ha entregado la bula magistral del Gran Maestr^, al Emo. y Excmo. Sr. D. Antonio Despuig y iDámeto ¿ como proíectófc de la orden, nombrado por fallecimiento del Cardenal Álbani. IJa^aceptado S. Erna, con mucha satisfacción esté encargó , itnayófmenté ! habiendo tenido s</t>
  </si>
  <si>
    <t>Desray</t>
  </si>
  <si>
    <t>de Leipsick y domiciliado en Francia. S. S. Pió vil ha escrito una carta muy expresiva de gracias á Mr. Desray, librero de esta capital, por el magnífico exemplar que le rega</t>
  </si>
  <si>
    <t>Dessalines, General</t>
  </si>
  <si>
    <t>General Dessalines</t>
  </si>
  <si>
    <t>s á las obras públicas. GRAN BRETAÑA. Continuación de las noticias de Londres del 28 de Abril. . El General Dessalines ha publicado la siguiente proclama .—Libertad, 6 muerte Gobierno de Haití-----Qj tariel general, Puerto Principe 14 de Enero, año i.° de la independencia de Haití____El Gobernador</t>
  </si>
  <si>
    <t>Dessoles, General</t>
  </si>
  <si>
    <t>General Dessoles</t>
  </si>
  <si>
    <t>exército francés áoX electorado al Mariscal del Imperio Bernadotte, y el del exército de reserva al General Dessoles. Francfort 4 de Junio. Las cartas de Viena de 31 de Mayo anuncian una noticia de bastante importancia. El Príncipe Carlos ha renunciado la dignidad de Gran Maestre de la orden Teu</t>
  </si>
  <si>
    <t>16 de Julio. Hace bastantes, dias que estamos,esperando aquí al Mariscal del Imperio Bernadotte,/al General Dessoles y&lt;á. otros oficiales del estado mayor. Ignoramos qual sea el objeto de su venida; perovtodos estamos temiendo que el gobierno francés no pida algunas sumas á nuestra ciudad, cuya si</t>
  </si>
  <si>
    <t>Dessolles, General</t>
  </si>
  <si>
    <t>General Dessolles</t>
  </si>
  <si>
    <t>a In*glaterra. Escriben de, Holanda que las tropas francesas del exército de reserva, al piando del General Dessolles , que estaban en el condado dé Bentheiin , se han puesto en marcha hacia la República bátava; se dirigen á Coeverder, de donde aseguran que irán á Utrech y Amersfort, á fin de esp</t>
  </si>
  <si>
    <t>Devillers, Francisco</t>
  </si>
  <si>
    <t>Francisco Devillers</t>
  </si>
  <si>
    <t>irilo Lessasier, D. Juan Treviño y D. Luis Dreux , el Sargento primeroJJ). Manuel Rubio y el Cadete D. Francisco Devillers; y i Subtenientes¿¿e bandera los Sargentos primeros D.; Juan Josef Bon y D&gt; Juan Poi^, y los Cadetes Don Cárlos de Grand-pre,D, Antonio Valderasj Dormido Guillermaud y</t>
  </si>
  <si>
    <t>Devonshire, Duquesa</t>
  </si>
  <si>
    <t>Duquesa Devonshire</t>
  </si>
  <si>
    <t>Explica luego su venida á Francia, que fue para acompañar á. su hermana á las aguas de Pyrmont. L^t Duquesa Devonshire los. llama á Inglaterra; era parienta suya, y se van con ella. Después han vuelto á Francia y y quando iban á marchar los arrestan, y los hacen cómplices de la conspiración , siendo a</t>
  </si>
  <si>
    <t>Dewinter, Almirante</t>
  </si>
  <si>
    <t>Almirante Dewinter</t>
  </si>
  <si>
    <t>e supuesto pasó tres dias en Fiesinga esperando la noticia de un grande acontecimiento en París. El Almirante Dewinter vive como simple particular en Amsterdam, y no tendrá parte en la guerra actual. ^ ' FRANCIA. ' Metz 9 de Marzo.. Hace dos dias se han arrestado aquí muchas personas que se cree e</t>
  </si>
  <si>
    <t>Dezazars</t>
  </si>
  <si>
    <t>Mr. Pugal, para Tesorero de la misma cohorte. A Mr. Lagrange, para Canciller de la 10 cohorte; y á Mr. Dezazars, para Tesorero de la misma&lt; A Mr. Taiches de la Pugerie, antiguo caballero de S. Luis, para Canciller de la 15 cohorte; y para Tesorero de la misma á Mr. de Fontenay. Los comisari</t>
  </si>
  <si>
    <t>Dhrake</t>
  </si>
  <si>
    <t>e su residencia haya podido ser el centro de una correspondencia tan agena de la misión de queS. E. Mr. Dhrake estaba encargado cerca de su persona, y debe á su dignidad* á su honor, y al interes de su pueblo, el declarar á S. E. que* desde este momento le será imposible tener alguna? comuni</t>
  </si>
  <si>
    <t>Di Francisco Blanco, Coronel</t>
  </si>
  <si>
    <t>Coronel Di Francisco Blanco</t>
  </si>
  <si>
    <t>ervido conferir, la: Comandancia del tercer batallón del regimiento de infantería de la Princesa al Coronel Di Francisco Blanco, Teniente Coronel agregado al primer batallón de Voluntarios de Cataluña: la del de las Ordenes Militares á su. Sargento mayor ,. graduado de* Teniente Coronel, D. Joaquín dé Goye</t>
  </si>
  <si>
    <t>Di Rá’monBnrgaleta</t>
  </si>
  <si>
    <t>de la Catedral de'Tudela,- vacante por-fallecimiento de D. Baltasar de Resa, á Di Rá’monBnrgaleta, Racionero Vicario de la misma: para una Ración de*;l*a Catedral de:Málaga, vacante por niuerte de D» Francisco Panudo Criado, á D. Francisco Rafael de Eslava , Medio-Racionero de eliajly pa</t>
  </si>
  <si>
    <t>Di'Jiian de Escoiquiz</t>
  </si>
  <si>
    <t>y último: de Jas obras, selectas de Eduardo Young, traducida» a£ castellano por Di'Jiian de Escoiquiz, Canónigo de Ja Catedral de Toledo, se hallará, con los dos anteriores;, ó suelto, en el despachó de la Imprenta Real, y en la librería de la,vtudá é hijo de Quiroga; en Toledo en la de Her</t>
  </si>
  <si>
    <t>Di, Juan Antonio</t>
  </si>
  <si>
    <t>Juan Antonio Di</t>
  </si>
  <si>
    <t>postura á todas, ó á cad ¡ una de ellas, acuda ante dicho Sr. Alcalde, y escribanía de provincia de D. Juan Antonio Di&lt;¿z Moriega, rrr Por el referido juzgado y citada escribanía se está subastando una casa, sita en la villa de Trillo, con pajar, cueva y tinajas para 800 arrobas, tasada en 92,440</t>
  </si>
  <si>
    <t>Díaz de Arjona, Pedro</t>
  </si>
  <si>
    <t>Pedro Díaz de Arjona</t>
  </si>
  <si>
    <t>remadura Tenencia al Subteniente de granaderos D, Antonio Zafra; y Subtenencia de bandera al Cadete D. Pedro Diaz de Arjona: en el de Málaga Tenencia al Subteniente D. Antonio Martinez Orosa; y Subtenencia de bandera ai Cadete D. Diego S. Román. hn el Regimiento de infantería de Córdobase ha servido S.</t>
  </si>
  <si>
    <t>Díaz de Córdoba, Antonio</t>
  </si>
  <si>
    <t>Antonio Díaz de Córdoba</t>
  </si>
  <si>
    <t>f Aramburu, ¿.Francisco Echezarreta, D. Pablo Bustamante, D. Domingo Allende, D. Antonio Valcárcel, D. Antonio Díaz de Córdoba , D. Salvador Clavijo, D. Josef Julián, D. Francisco Topete, D. Manuel del Castillo, D. Vicente María Saavedra, D. Miguel Montemayor, D. Antonio Ausejo, D. Martin de Mendoza, D. F</t>
  </si>
  <si>
    <t>Díaz de Guereñu, Pedro</t>
  </si>
  <si>
    <t>Pedro Díaz de Guereñu</t>
  </si>
  <si>
    <t>celebra la Iglesia, repartidos por los meses del año; sacados de los mas clásicos autores por el P. D. Pedro Díaz de Guereñu, presbítero, de la congregación de Clérigos Reglares de S. Cayetano: 3.a edición. Se hallará en la librería de Llera, plazuela del Angel. Tarifa de los sueldos, prets, gratificaci</t>
  </si>
  <si>
    <t>Díaz de Rábago, Mateo</t>
  </si>
  <si>
    <t>Mateo Díaz de Rábago</t>
  </si>
  <si>
    <t>Borbon,actuál Arzobispo,y éTCabildoycdn asistencia de la muy ilustre Imperial ciiidad, dixo élXic. D. Mateo Díaz de Rábago, Canónigo Magistral concluyó su-Eminencia con la absolución solemne pontifical. Se hallará en el almacen de papel y librería de Ortega, calle de las Carretas. Métodb verdadero par</t>
  </si>
  <si>
    <t>Díaz de Ribera, Pedro</t>
  </si>
  <si>
    <t>Pedro Díaz de Ribera</t>
  </si>
  <si>
    <t>, D. Josef Velarde,y D. Joaquín Grandona;y á Capitanes segundos á los Tenientes D. Josef Castellar, D. Pedro Díaz de Ribera , y D. Benito Irazabal.. S*. M.. se. ha servido nombrar para- una Tenencia en el regimiento de caballería de Almansa., tercero de-cazadores,, á D^Luís Mexía, Teniente agregado al.</t>
  </si>
  <si>
    <t>Díaz Moriega, Juan Antonio</t>
  </si>
  <si>
    <t>Juan Antonio Díaz Moriega</t>
  </si>
  <si>
    <t>referidas, el viérnes 8 de Junio próximo, á las 11 de su mañana, en la escribanía ‘de provincia de D. Juan Antonio Diaz Moriega. Quien quisiere hacer postura á la obra de tapias, limpieza de noria, y composición de arquetones de repartimiento de aguas que hay que executar en la huerta cerrada de tapia, sit</t>
  </si>
  <si>
    <t>ñana. Quien quisiere hacer postura, acuda ante dicho Sr. Alcalde, por la escribanía de provincia de D. Juan Antonio Díaz Moriega. Quien quisiere comprar un oficio de Receptor, propio de D. Manuel Domingo Morilla', Doña Hermógena y Doña Isidora Morilla, hijos y herederos de Don Juan Antonio Rodríguez Moriiía</t>
  </si>
  <si>
    <t>ia 9. Quien quisiere hacerla, acuda «ante el referido Sr. Alcalde por la escribanía de provincia de D. Juan Antonio Díaz Moriega. El Sr. D. Manuel de Torres, Teniente Corregidor de esta villa, ha señalado el día 25 del presente, después de las 12 , en su audiencia para el remate de 2 casa5 unidas, consisten</t>
  </si>
  <si>
    <t>para su remate el día 30 d-el corrienre, á Jas doce de su mañana, en la escribanía de provincia de D. Juan Antonio Diaz Moriega.“ Asimismo por el citado juzgado y escribanía se están subastando otras tierras sitas en el término-de dicho lugar de Fuerdabrada, pertenecientes a varias memorias, y son: una tie</t>
  </si>
  <si>
    <t>Díaz Noriega, Juan Antonio</t>
  </si>
  <si>
    <t>Juan Antonio Díaz Noriega</t>
  </si>
  <si>
    <t>uisiere hacer postura á cada una de ellas acuda ante dicho Señor, por la escribanía de provincia de D. Juan Antonio Diaz Noriega. En Ja,villa de. S. Vicente de la Barquera se.halla vacante la; plaza de Médico, con la dotación anual de 6© rs. por el Excmo. é limo. Sr. Arzobispo de Lima , im~ppesto su capital</t>
  </si>
  <si>
    <t>do publicar. Quien quisiere hacer mejora acuda ante dicho Señor, por la' escribanía de provincia de D, Juan Antonio Diaz Noriega. Se avisa á D. Josef García de Ambite ó sus herederos, acudan al Subinspector de Artillería del departamento de Andalucía, para cobrar un crédito que tiene á su favor y contra un</t>
  </si>
  <si>
    <t>Diáz Noriega, Juan Antonio</t>
  </si>
  <si>
    <t>Juan Antonio Diáz Noriega</t>
  </si>
  <si>
    <t>ra dd quarto. Quien quisiere hacerla acuda ante dicho Sr. Alcalde por la escribanía de provincia de D. Juan Antonio Diáz Noriega. Guia de la Grandeza para el cumplimiento dé los días y años de los Excmos. Sres. Grandes'de España, así residentes en. esta corte, como fuera de ella, para este año. Se .hallará</t>
  </si>
  <si>
    <t>Quien quisiere hacer postura á eüa, acuda ante dicho Sr. Alcalde por la escribanía de provincia de D. Juan Antonio Díaz Noriega, donde se admitirán las que se hagan , siendo arregladas. Qaien quisiere hacer m jora á una casa, sita en el portal de Provincia de esta corte, núm. 17 de la manzana 162 , y tiene</t>
  </si>
  <si>
    <t>Quien quisiere hacer postura á ellas acuda ante dicho Sr. Alcalde por la escribanía de provincia de Don Juan Antonio Díaz Noriega, que se admitirán las que se hagan siendo arregladas; y se ha señalado para su remate el dia 6 de Junio próximo á las 11 de su mañana en dicha escribanía. En virtud de providencia</t>
  </si>
  <si>
    <t>lado para su remate el sábado 16 del mismo, á las 11 de su mañana, en la escribanía de provincia de D. Juan Antonio Díaz Noriega. Suplemento á las Memorias, que se publicaron en 2 tomos, del Sultán TypooZaib: contiene dicho suplemento la historia de la conquista de su imperio, y ia narración de ?u muerte, l</t>
  </si>
  <si>
    <t>icho dia 20. Quien quisiere hacerla acuda ante dicho Sr. Alcalde, por la escribanía de provincia de D. Juan Antonio Díaz Noriega. Para el remate de las casas, que se han traido á pública subasta, sitas en la calle de S. Vicente, con accesorias á la de S. Andrés, núms. 13 y 15, manz. 453f con 7629^ pies de s</t>
  </si>
  <si>
    <t>smo dia 26. Quien quisiere hacerla, acuda ante dicho Sr. Alcalde, por la escribanía de provincia de D. Juan Antonio Díaz Noriega. Por el mismo juzgado se ha rematado en 16 de Jwnio próximo dos tierras, si</t>
  </si>
  <si>
    <t>Díaz Noríega, Juan Antonio</t>
  </si>
  <si>
    <t>Juan Antonio Díaz Noríega</t>
  </si>
  <si>
    <t>e se ha Señalado el lunes 23 del corriente, á las 11 de su mañana, en la escribanía de provincia de D. Juan Antonio Díaz Noríega. Se halla vacante la plaza de Médico titular del Real Valle de Carriedo, distante 4 leguas de la ciudad de Santander ; está dotada con 6$) rs. de renta anual, pagados por la Justi</t>
  </si>
  <si>
    <t>todas, ó cada una de dichas fincas, acuda ante dicho Sr. Alcalde por la escribanía de provincia de D. Juan Antonio Díaz Noriega. Por providencia del Sr. D. Manuel de Torres, del Consejo de S. M., Teniente Corregidor de esta villa, y escribanía de número de D. Diego Benigno González, se subasta una casa sit</t>
  </si>
  <si>
    <t>Gil Fernandez, del Consejo de S. M., Alcalde de su Real casa y corte, y escribanía de provincia de D. Juan Antonio Díaz Noriega, las quales son á saber: primeramente una tierra en el prado de la vega y vereda que llaman de Matahijos, su caber de 430 estadales, tasada en 913 rs. 25 mrs. Otra en el camino de</t>
  </si>
  <si>
    <t>Gil Fernandez, del Consejo de S. M., Alcalde de su Real casa y corte , y escribanía de provincia de D. Juan Antonio Díaz Noriega, y son á saber: una tierra al sitio que llaman S. Gregorio el viejo, de una fanega, 2 celemines y 11 estadales, tasada en 1195 rs. Otra á la serna ó lago, de 1 fan., 5 cel. y 3 es</t>
  </si>
  <si>
    <t>el nuevo remate el lunes 10 del corriente, á las 12 de su mañana, en la escribanía de provincia de D. Juan Antonio Diaz Noriega. Para el remate de los frutos y rentas de la encomienda de Pozorubio, orden de Santiago, se ha señalado el 15 de Setiembre próximo , 4 !as 11 de la mañana, en la Contaduría genera</t>
  </si>
  <si>
    <t>ara su remate el juéves 20 del corriente, á las doce de tu mañana, en la escribanía de provincia de D. Juan Antonio Díaz Noriega; á cuyas fincas se ha hecho postura en 13,900 rs. en vales.</t>
  </si>
  <si>
    <t>todas ó á cada una de dichas fincas, acuda ante dicho Sr. Alcalde por la escribanía de provincia de D. Juan Antonio Díaz Noriega. Para el remate de la casa, calle del Lobo¿ núm. 9, manz. 224, perteneciente 4: la congregación de S. Ignacio de Tóyola, se ha vuelto á señalar el sábado 22 del corriente á las pu</t>
  </si>
  <si>
    <t>ara su remate el viérnes 19 del presente, á las doce de su mañana, en la escribanía de provincia de D. Juan Antonio Diaz Noriega. Por el mismo juzgado también se están subastando otras fincas en término de dicho lugar, y son dos tierras, de caber 3 fanegas, 5 celemines, 44 estadales, tasadas en 3442 rs. 17</t>
  </si>
  <si>
    <t>o remate se ha señalado el sábado 20 del corriente, á las doce de su mañana, en dicha escribanía de D. Juan Antonio Díaz Noriega. Quien quisiere hacer postura á dichas fincas, acuda ante dicho Sr. Alcalde por la misma escribanía. Por auto proveído el i.° descorriente por el Corregidor de la ciudad de Aviíay</t>
  </si>
  <si>
    <t>remate, que es el lúnes 29 del corriente, á las doce de su mañana, en la escribanía de provincia de D. Juan Antonio Diaz Noriega. Se halla vacante el partido de Médico de la villa de la Membrilla, provincia de la Mancha,, partido de Infantes, que se compone de 874 vecinos, inclusos diez Eclesiásticos y dos</t>
  </si>
  <si>
    <t>emate el sábado 3 de Noviembre próximo, 4 las doce de su. mañana,, en la escribanía de provincia de D. Juan Antonio Diaz Noriega.Quien quisiere hacer postura 4 una casa- sita en la cuesta de la Vega , num. 4, manz. 192 , que comprehendé 15,095- pies superficiales, valuada, con su fábrica, en 921,040 rs., ac</t>
  </si>
  <si>
    <t>Díaz Nortegá, Juan Antonio</t>
  </si>
  <si>
    <t>Juan Antonio Díaz Nortegá</t>
  </si>
  <si>
    <t>todas 6 cada una de dichas tierras acuda ante dicho- Sr; Alcalde, por la escribanía de provincia de D. Juan Antonio Díaz Nortegá. ' En términos deí lugar de Revilla del Campo'provincia de Bürgo^l^Teguas de ella, en el camino real que ,se dirige por dicho pueblo á Vilhlfranca^ montes de Oca, Bilbao y otras p</t>
  </si>
  <si>
    <t>Díaz Noruega, Juan Antonio</t>
  </si>
  <si>
    <t>Juan Antonio Díaz Noruega</t>
  </si>
  <si>
    <t>uien quisiere hacer postura á ella, acuda ante dicho Sr. Alcalde, por la escribanía de provincia de D. Juan Antonio Díaz Noruega.................... Por el presente se cita, llama y emplaza á Juan Ehringer, natural de La ufen, en el arzobispado que fué, y actual electorado de Sálisburgo, de donde se ausentó</t>
  </si>
  <si>
    <t>Díaz Rábago, Miguel</t>
  </si>
  <si>
    <t>Miguel Díaz Rábago</t>
  </si>
  <si>
    <t>de Antequera de Oaxaca, á Don Manuel García Cubilano: para la Ración que obtenía al Medio-Racionero D. Miguel Diaz Rábago; y para esta resulta á D. Francisco Antonio Cano, Cura del Vallé de Santiago en aquella diócesis. Eri el regimiento de infantería de la Havana se ha servido el Rey conferir la Ten</t>
  </si>
  <si>
    <t>Díaz, Domingo</t>
  </si>
  <si>
    <t>Domingo Díaz</t>
  </si>
  <si>
    <t>141-25 Domingo Diaz..................... Cascante................. 141-25 Miguel Martinez................. Belchite..................... . 141-25 Míreos Ribera..................</t>
  </si>
  <si>
    <t>Díaz, Tomás</t>
  </si>
  <si>
    <t>Tomás Díaz</t>
  </si>
  <si>
    <t>DE XA FRAGATA SANTA Tomas Diaz........ ............... Almunia.................. •..... 141 • 25 CLARA. Vicente López..................... Torrijos..</t>
  </si>
  <si>
    <t>DiazNoriega, Juan Antonio</t>
  </si>
  <si>
    <t>Juan Antonio DiazNoriega</t>
  </si>
  <si>
    <t>Reales. Quien quisiere hacer mejora acuda ante dicho Sr. Alcalde por la escribanía de provincia de D. Juan Antonio DiazNoriega. En la gazeta del viernes 6 de Mayo próximo anterior de 1803 se anunció que de consentimiento de los interesados, y en virtud de providencia del Sr. D. Josef Marquína Galindo, Alc</t>
  </si>
  <si>
    <t>Didelot</t>
  </si>
  <si>
    <t>la intervención* del gobierno francés, según pretenden, y ha habido diferentes contestaciones entre Mr. Didelot, Ministro de la República francesa, y el ministerio electoral. Se presume que Mr. Laville, Secretario de la legación francesa, que hizo u¡n vhaige-áParis y ficécon el objeto de re</t>
  </si>
  <si>
    <t>Diegf</t>
  </si>
  <si>
    <t>sef Corones, D. Nicolás de la Vega, D/MamutE Lasqucti, D. Ramón Rato, Don Roque Diaz,D. Miguel Daza,D. Diegf ]fadara,D. RamónTrullol, Don Juan Olaegui, D. Víctor Vinader, D.,.Vicente de Lago, D. Pedro Landazuri, D. Joaquín de Soroa, D. Adriinti.Morquecho, D. Bartolomé Arguelles, D. Ferna</t>
  </si>
  <si>
    <t>Dieggo</t>
  </si>
  <si>
    <t>Don Cárlos Mauduit, D. Manuel Zulaetai) IK Antonio Berraondo, D. Juan del Busto, D. Josef Quiroga, D. Dieggo* Venegas, D. Ventura Gutiérrez de Bustillo, D. Josef Roso, D. Joaquínu Aróstegui, D. Joaquín Ibañez de Corvera, D* Josef Valdasano, Dj, Manuel de Cañas, D. Josef del Castillo, D.</t>
  </si>
  <si>
    <t>Dieguez, Ángel</t>
  </si>
  <si>
    <t>Ángel Dieguez</t>
  </si>
  <si>
    <t>la de Révillaien Córdoba en la de Berard; en Granada en la de Polo Castillo; en» .Murcia en casa de D. Angel Dieguez; en Santiago en la de Villa; en la Cor una en la de Soto; en Orense «en.la de Gómez Pazo; en Barcelona en el despacho ?del , I&gt;iarioij y^en) Prienda .en la de Fuente; = Para Améri</t>
  </si>
  <si>
    <t>Diez Bulnes, Carlos</t>
  </si>
  <si>
    <t>Carlos Diez Bulnes</t>
  </si>
  <si>
    <t>en el de Ordenes Militares Subtenencias de bandera al Sargento primero D. Josef Doblas y al Cadete D. Carlos Diez Bulnes ; y en los de Voluntarios de Estado, Voluntarios de lz Corona y Borbon, Tenencias á los Subtenientes D. Alonso de Torres, D. Cayetano Mena y D. Martin Ruéíle, los dos últimas de g</t>
  </si>
  <si>
    <t>Diez de la Peña, Luis</t>
  </si>
  <si>
    <t>Luis Diez de la Peña</t>
  </si>
  <si>
    <t>ciudad y provincia de Toledo se siguen autos de concurso á los bienes que dexó Luis Diez de la Peña, vecino que fué de dicha ciudad, para pago de sus acreedores; y mediante estar en términos de adjudicarse los sobrantes á sus herederos parientes que justifiquen serlo, á mas de los que s</t>
  </si>
  <si>
    <t>Diez de Medina, Francisco Tadeo</t>
  </si>
  <si>
    <t>Francisco Tadeo Diez de Medina</t>
  </si>
  <si>
    <t>el Rey en nombrarle para la plaza de Oidor, vacante en la Audiencia de Chile, por fallecimiento de D. Francisco Tadeo Diez de Medina; y para otra de la Real Audiencia de México, vacante por fallecimiento de D. Hemeterio Cacho Calderón, á D. Josef Arias Villafañe, Alcalde del crimen mas antiguo de ella. En Copen</t>
  </si>
  <si>
    <t>Diez de Real, Miguel</t>
  </si>
  <si>
    <t>Miguel Diez de Real</t>
  </si>
  <si>
    <t>ña D. Antonio Quirós: en el de América al Cadete de las compañías de cazadores de la plaza de Ceuta D. Miguel Diez de Real: en el de Ñapóles al Cadete de Reales Guardias Walonas D. Ramón Antonio Junco; y en los de Irlanda, Astúrias y Borbon á los Cadetes de los propios cuerpos D. Miguel Garrido, D. Di</t>
  </si>
  <si>
    <t>Diez de Ribera, Antonio</t>
  </si>
  <si>
    <t>Antonio Diez de Ribera</t>
  </si>
  <si>
    <t>ía ligera se ha servido igualmente S. M. promover á Alféreces en el de cazadores de Pavía al Cadete D. Antonio Diez de Ribera; y en el de húsares de Numanciaá D. Baltasar Jalón, Cadete del de húsares Españoles. En los Regimientos Provinciales ha conferido el Rey el empleo de CoroneL del de Segovia al Mar</t>
  </si>
  <si>
    <t>Diez de Santillana, Domingo Miguel</t>
  </si>
  <si>
    <t>Domingo Miguel Diez de Santillana</t>
  </si>
  <si>
    <t>a venido S. M. en trasladar á la Vara de Alcalde mayor de la villa de Olívenza, de segunda clase, á D. Domingo Miguel Diez de Santillana, Alcalde mayor de la ciudad de Salamanca, confiriendo la que este obtenía á D. Josef María Puente, que lo era de la referida villa de Oli venza. En América. En consideración á la</t>
  </si>
  <si>
    <t>Diez Escudero y Bernarda Serrano Li, Bernardo</t>
  </si>
  <si>
    <t>Bernardo Diez Escudero y Bernarda Serrano Li</t>
  </si>
  <si>
    <t>, natural de la villa de Cervera de Aguilar , viuda de D. Francisco Eugenio de Moradillo, é hija de D. Bernardo Diez Escudero y Doña Bernarda Serrano Li</t>
  </si>
  <si>
    <t>Diez García, Pedro</t>
  </si>
  <si>
    <t>Pedro Diez García</t>
  </si>
  <si>
    <t>nidad de Maestrescuela de la catedral de Plasencia, vacante por muerte de D. Félix García Luengo, á D. Pedro Diez García, Canónigo Penitenciario de ella: para unaCanongía Cardenalicia de la catedral de Orense, vacante por promoción de D. Juan Pascual de Churruca á la Abadía de Castroxeriz, dignidad</t>
  </si>
  <si>
    <t>Diez y Duran, Mateo</t>
  </si>
  <si>
    <t>Mateo Diez y Duran</t>
  </si>
  <si>
    <t>Manuel de Asprery que lo era de la de Soria: para esta al Comisario OrdenadorD. Mateo Diez y Duran, Ministro dé Hacienda de“ Menorca: para este Ministerio, con igual grado de Ordenador , al Comisario Guerra D. Baltasar Fernandez ; y para la</t>
  </si>
  <si>
    <t>Diez y Muñoz, Andrés</t>
  </si>
  <si>
    <t>Andrés Diez y Muñoz</t>
  </si>
  <si>
    <t>Villalar, en el obispado de Zamora* vacante por fallecimiento de D. Josef Rodríguez del Castillo, á D. Andrés Diez y Muñoz, con carga de residencia, y de alternar con el Párroco en su ministerio. Por Real decreto de 2 de Febrero de 1803 tuvo S. M. á bien designar la Contaduría general de Millones por</t>
  </si>
  <si>
    <t>Diez y Serrano, María Ana</t>
  </si>
  <si>
    <t>María Ana Diez y Serrano</t>
  </si>
  <si>
    <t>acuda ante el mismo Sr. Alcalde y citada escribanía. Por el testamento y memoria b3xó que falleció Doña María Ana Diez y Serrano, natural de la villa de Cervera de Aguilar , viuda de D. Francisco Eugenio de Moradillo, é hija de D. Bernardo Diez Escudero y Doña Bernarda Serrano Li</t>
  </si>
  <si>
    <t>Diez, Miguel</t>
  </si>
  <si>
    <t>Miguel Diez</t>
  </si>
  <si>
    <t>over a Capitanes de los de Avila, Segovia, León y Betanzos á D. Antonio Martínez de Aguirre y Soto, D. Miguel Diez, D. Felipe Marcelino de la Huerga, D. Benito María de Castro y D. Joaquín de Ponte, los quatro últimos Tenientes de los mismos cuerpos: á Tenientes de granaderos de los de Laredo,</t>
  </si>
  <si>
    <t>Diezinger</t>
  </si>
  <si>
    <t>suspenso de sus derechos políticos durante 10 años, y dará una fianza de 2400 florines: á la otra, Mr. Diezinger, ex-Presidente de la Municipalidad de Wadenschweil, se le ha suspendido por 6 años de sus derechos políticos. Lugano 28 de Setiembre. Dicen que el Consejo menor se ha transferido</t>
  </si>
  <si>
    <t>Dikker, Almirante</t>
  </si>
  <si>
    <t>Almirante Dikker</t>
  </si>
  <si>
    <t>ranza. Ayer entró en el Texel un bríck, excelente velero, que hacia parte de la esquadra del Contra-Almirante Dikker; trae la noticia, según escriben de Amsterdam, que este Oficial salió del Cabo en un navio de 74, que convoya, con otros buques de guerra,á 607 gruesos navios que vienen de Batavi</t>
  </si>
  <si>
    <t>Dilate, Pedro</t>
  </si>
  <si>
    <t>Pedro Dilate</t>
  </si>
  <si>
    <t>o en ei regimiento de infantería de Nueva-España se ha servido S» M. promover á Capitán al Ayudante D. Pedro Dilate, y á Ayudante al Teniente de granaderos D. Josef Maldonado., En atención á los méritos y circunstancias de D. Francisco Belda y P1 á, vecino de la villa de Boeayrente, rey no de V</t>
  </si>
  <si>
    <t>Dimas de Cañas</t>
  </si>
  <si>
    <t>aderos ái de fusileros D. Josef Viya y al de bandera D. Josef Manuel Villanueva, y á Subtenientes á D. Dimas de Cañas, D. Tomas Arroyo, D. Josef DomingoUrquisavaso, D. Luis de Vera, D. Josef María Fernandez Boullosa, D. Josef Manuel Díaz de la Madrid, D. Francisco Ruiz Linares , D. Francisco Xavi</t>
  </si>
  <si>
    <t>Diodoro de Salamanca</t>
  </si>
  <si>
    <t>na Canongía de la colegial de Bribiesca, en eí arzobispado de Burgos, vacantes por fallecimiento de D. Diodoro de Salamanca, á D. Francisco Antonio de Sta. Mana y la Prada: para el Beneficio simple préstamo de Villanueva de Odra, en la propia diócesis , vacante pór muerte del mismo Salamanca , á D. Tib</t>
  </si>
  <si>
    <t>Diodoro Salamanca</t>
  </si>
  <si>
    <t>el Beneficio Préstamo' del lugar de Villarmeró, en eí arzobispado de Burgos * vacante por muerte de D. Diodoro Salamanca , á D. Alexcr Accves: para el Beneficio simple de la parroquial de Villafer, en la Vicaría de S. Millan, en la diócesis de Oviedo, por fallecimiento de D. Josef Roxas , á D. Franc</t>
  </si>
  <si>
    <t>Dionisio Esteban</t>
  </si>
  <si>
    <t>........... 141..25 Dionisio Esteban................. Tamajon....................... . 141 ■•25 Francisco Hernández........Ajofrin....;..-......... ......i........ 141..25 Tomas López.................</t>
  </si>
  <si>
    <t>Diosdado, Bernardo</t>
  </si>
  <si>
    <t>Bernardo Diosdado</t>
  </si>
  <si>
    <t>Josef de Torre, D. Miguel de Orvaneja, D. Antonio Garayo, D. Josef de Alday, D. Josef de Iturralde, D. Bernardo Diosdado, D. Deogracias Cardenal, D. Feliciano de Guizaburuaga y D. Jcsef de Acevedo y Villaroel; habiendo conferido la penúltima plaza á D. Francisco Xavier de Amestoy, optando á la prime</t>
  </si>
  <si>
    <t>diputado Bekir-Baxá</t>
  </si>
  <si>
    <t>872 Las negociaciones entabladas en Belgrado entre los diputados Servios y Bekir-Baxá están si no rotas, por lo menos suspensas por tiempo ilimitado. No ha podido convenirse de una y otra parte en ninguno de Jos principales puntos ventilados en la</t>
  </si>
  <si>
    <t>diputado Servios</t>
  </si>
  <si>
    <t>bladas en Belgrado por Bekir-Baxá, no han tenido hasta ahora ningún efecto. Los diputados Servios insisten en que se les entregue absolutamente ¡aplaza, y pretenden establecer en ella un gobierno particular.,Entre tanto los sublevados se aproximan cad_a vez</t>
  </si>
  <si>
    <t>ando nuevas tramas: Jorge Pesrowicz, Jacob Stephanowicz, Sima Marcowicz y otros diputados Servios, tuvieron con él algunas conferencias, pero sin éxito favorable; el Baxá les impuso una contribución de 800 bolsas, y no quiso dar oidos á sus representaciones</t>
  </si>
  <si>
    <t>Director Barthelemí</t>
  </si>
  <si>
    <t>ido por la necesidad, tomó pues la determinación de escribir en 17 Fructidor al Director Barthelemí, revelándole lo que ya no era un secreto para el exército , y dentro de pocos dias no lo seria para nadie.__ En esta carta consultaba á dicho Director, acerca</t>
  </si>
  <si>
    <t>Director Erancisco Xavier de Balmis</t>
  </si>
  <si>
    <t>trado de nuestro Comandante general Marques de Casa-Cagigal, y la actividad del Director Don Erancisco Xavier de Balmis suplieron la falta de disposiciones previas, y á pesar de la obscuridad de la noche y de la gruesa mar, fuéron inoculados de brazo á brazo una hora después die</t>
  </si>
  <si>
    <t>Director Hoppensack</t>
  </si>
  <si>
    <t>recen en la empresa por el reglamento que tiene en su poder, y ha formado dicho Director Hoppensack: siendo el valor de cada una 150 pesos fuertes, pagados en tres plazos de 6 en 6 meses cada uno; previniéndose que solo estará abierta la venta de dichas accio</t>
  </si>
  <si>
    <t>Director Marques de Gallegos</t>
  </si>
  <si>
    <t>omover los objetos de su instituto Pronunció el discurso de abertura el segundo Director Marques de Gallegos: continuó con el elogio del Rey nuestro Señor el primer Censor D. An</t>
  </si>
  <si>
    <t>Director Mr</t>
  </si>
  <si>
    <t>favorecido los proyectos de Drake, y corrido con su correspondencia. Como dicho Director Mr.Lindemann se halla al servicio de los correos del Imperio, ha consentido el Elector de Baviera en que este negocio se vea por los tribunales del Príncipe de Ta</t>
  </si>
  <si>
    <t>Dmnanceau, General</t>
  </si>
  <si>
    <t>General Dmnanceau</t>
  </si>
  <si>
    <t>on el ejército___ También ha formado un cuerpo de ingenieros, que se reunirá al quartei general dei General Dmnanceau, que se establecerá en Amsterdam. París 2,1 de Diciembre. .El gran Consejo de la legión de honor ha tenido una nueva sesión, en la que se han elegido varios miembros, y entre ello</t>
  </si>
  <si>
    <t>Doblado, Manuel</t>
  </si>
  <si>
    <t>Manuel Doblado</t>
  </si>
  <si>
    <t>o: para el quarto Préstamo de ruencarral, en el arzobispado de Toledo, vacante por fallecimiento de D. Manuel Doblado, á D. Manuel Deogracias Marroquin, con dimisión de los dos Medios-Préstamos de Lozoya y Mazuecos, que obtiene en el mismo arzobispado: para estos dos Medios-Préstamos á D.Diego Ca</t>
  </si>
  <si>
    <t>Dobon, Tomás</t>
  </si>
  <si>
    <t>Tomás Dobon</t>
  </si>
  <si>
    <t>la iglesia primada de Toledo, vacante por promoción de D.i Juan FéB;x García á Canongía de. ella, á D. Tomas Dobon;. para otra' Ración de da colegial, de Roay eiu el obispado de Osma, por ascenso de-D. Domingo Hortigiiela a Canongía de la misma, á D. Mafíás*Cásado, Cura dé Vaídegruíla y su ane</t>
  </si>
  <si>
    <t>Doiñingo Andrés</t>
  </si>
  <si>
    <t>ellanía titular del Real Convento de la Encarnación de la villa de Madrid, vacante por promoción de D. Doiñingo Andrés , á D. Ignacio Ducasi, Capellán de Altar, y Músico en la'cuerda de baxo de aquella Iglesia; y para una Ración de la Catedral de Canaria, vacante por proinocion de D. Antonio Ruiz</t>
  </si>
  <si>
    <t>Dolgorouski, Príncipe</t>
  </si>
  <si>
    <t>Príncipe Dolgorouski</t>
  </si>
  <si>
    <t>ó fragatas con tropas de desembarco. Se han desembarcado 2$ sillas de montar, y muchos arneses. El Príncipe Dolgorouski se mantiene en Corfú. El Capitán Baxá ha salido de Gomenizza, dirigiéndose hácia Levante con su división. Ha instado, pero en vano, á los Eaxaes de esta plaza á quedexasen las arm</t>
  </si>
  <si>
    <t>Dolgorusky, Príncipe</t>
  </si>
  <si>
    <t>Príncipe Dolgorusky</t>
  </si>
  <si>
    <t>nociendo las obras maestras de las bellas-artes,, .de las ciencias!,-y quanto adorna la Italia*; el Príncipe Dolgorusky j Ayudante; de S. M. el £m-r perador de Rusia ; la Condesa de Woronzoff y de BíotagofiVdarna de honor de aquella corte imperial, y el General Lie ven, , con oíros mu*^ ehos sugeto</t>
  </si>
  <si>
    <t>Dolía Ramona Delgado</t>
  </si>
  <si>
    <t>tor que .fue del quartel de caballos de coche de la Real caballeriza , viudo de Dolía Ramona Delgado, natural de la cor»</t>
  </si>
  <si>
    <t>Dologouki, Príncipe</t>
  </si>
  <si>
    <t>Príncipe Dologouki</t>
  </si>
  <si>
    <t>ica para levantar un batallón, compuesto de 700 Albancses. El General Baschmetieíf, Mr. Sarokin, el Príncipe Dologouki, y el Teniente Coronel Romano han ido á visitar á SantAngelo y demas puestos de la isla , susceptibles de ser fortificados. Cadi-Bey está mandando 6 naves turcas, y acaba de recib</t>
  </si>
  <si>
    <t>Dombrowsky, General</t>
  </si>
  <si>
    <t>General Dombrowsky</t>
  </si>
  <si>
    <t>on un crrivite los Polacos para celebrar el cumpleaños del General Korckisko. Presidia la fiesta el General Dombrowsky, adoptado mucho tiempo ha por los ejércitos Franceses, y que en el de Italia manda actualmente á los que han quedado de aquellas intrépidas legiones, de los patriotas sin patria,</t>
  </si>
  <si>
    <t>Domínguez, Antonio</t>
  </si>
  <si>
    <t>Antonio Domínguez</t>
  </si>
  <si>
    <t>*41-25 Antonio Domínguez............ F.stremera........................ 141.-25 Frandsco Alburquerque— .. Cenicientos...... ............ 141-25 Pedro- de Soria....</t>
  </si>
  <si>
    <t>Domínguez, Manuel</t>
  </si>
  <si>
    <t>Manuel Domínguez</t>
  </si>
  <si>
    <t>D. Joaquín Hidalgo Barquero; y por Tenientes de Artilleros á caballo á los Tenientes de infantería D. Manuel Domínguez y D. Luis Sotomayor. ( En los regimientos de caballería de línea se ha dignado S. M. promover á Capitán en el de Alcántara á D. Juan Casquero, Ayudante del de Borbon , graduado de Ten</t>
  </si>
  <si>
    <t>Donincourt</t>
  </si>
  <si>
    <t>ey de Inglaterra. En Saint-Cloud hay ya 300 perros de caza, y muchos caballos para el mismo objeto. Mr. Donincourt ha sido nombrado Montero mayor. Hamburgo jo de Mayo. El Conde de RomanzofF, Ministro de comercio en Rusia, acaba de publicar un estado del comercio exterior de aquel Imperio : cos</t>
  </si>
  <si>
    <t>Doral y Anuncibay, Antonio</t>
  </si>
  <si>
    <t>Antonio Doral y Anuncibay</t>
  </si>
  <si>
    <t>edo, D Francisco García Fiorez , D. Tomas Cervino, D, Josef Muller, D. Francisco Viana y Achucarro, D. Antonio Doral y Anuncibay. El Rey se ha servido nombrar Auditor de Guerra del exército y Capitanía general de la costa de Granada á D. Ramón Josef Molino. En ei batallón de infantería ligera de Voluntarios</t>
  </si>
  <si>
    <t>Doy, Henrique</t>
  </si>
  <si>
    <t>Henrique Doy</t>
  </si>
  <si>
    <t>e Montero, calle de la Concepción. Tratado sobre el cultivo, usos, y utilidades de las patatas, por D. Henrique Doy le, corregido, y considerablemente aumentado: 4.a edición. Esta obra es ya bastante conocida, como lo acreditan las tres ediciones que se han despachado en poco tiempo. En la pres</t>
  </si>
  <si>
    <t>Doy, Manuel</t>
  </si>
  <si>
    <t>Manuel Doy</t>
  </si>
  <si>
    <t>erir en el Regimiento de infantería de Voluntarios de Castilla, Compañía ai caballero Page de S. M. D. Manuel Doy le: en el de Valencia Tenencia ai Subteniente D. Josef Fernandez:</t>
  </si>
  <si>
    <t>Drake</t>
  </si>
  <si>
    <t>orme que ha presentado el.Juez mayor aiiprimer Cónsul sobre una conspiración, urdida en Francia per Mr. Drake, Ministra de S. M. británica cerca de la corte de Munich-, cuyo exemplar remitiré á mi; corte?óninediatamente*.¿-r-La lectura de las cartas y. documentos auténtiqos de Mr. Drake,</t>
  </si>
  <si>
    <t>República. Esta correspondencia consiste en diez cartas originales escritas de su propio puño..... Mr. Drake no ha ido á Munich revestido del título de Minó tro plenipotenciario, para representar sil Soberano. Esta representación no es mas que un papel apárente, el pretexto de su legació</t>
  </si>
  <si>
    <t>a comisión* ni s« trabador será muy difícil. Munich 2 de Abril, V El Ministro de Estado ha pasado á Mr. Drake* Ministro de S. M. Británica cerca de S. A. E., una nota del tenor siguiente. ,*E1 infrascrito Ministro de Estadoy de las conferencias de S. A. $. E. Bávaro-Palatina tiene orden e</t>
  </si>
  <si>
    <t>3^2 Publicando el Monitor la nota precedente, añade que Mr. Drake se mostraba muy irritado con motivo de la última orden de S. A. E. para echar de Baviera á los emigrados, y preguntaba en su nota si también los que estaban inmediatamente baxo la</t>
  </si>
  <si>
    <t>ha descubierto, en cuya comprobación presenta varios papeles___ Después de esto vuelve á hablar de Mr. Drake , y expone las miras y provectos que parece tenia.; y luego atribuye á Mr. Spencer Smith las turbulencias que agitan de nuevo ai cantón de Zurich, y para creerlo así dice que tien</t>
  </si>
  <si>
    <t>la respuesta del Ministro de Suecia á la circular del Ministro Talieyrand sobre la conspiración de Mr. Drake. Dicho Ministro sueco está enfermo, y ademas tiene ya licencia por un año para viajar por los países extrangeros. El Rey de Suecia ha enviado á la corte de Viena una nota relativa</t>
  </si>
  <si>
    <t>irmada el 25 de Marzo. Dice que ,,ha recibido dicha circular relativa á la conspiración tramada por Mr. Drake, y que la envía inmediatamente á su corte ; y entre tanto puede asegurar que S.M. el Rey de Suecia sentirá oir todo lo que sea contrario al derecho de gentes.’* jL-EL mismo Minist</t>
  </si>
  <si>
    <t>de vicios , para executar el asesinato y la contrarevolucion ; que ha remitido sus instrucciones á Mr. Drake para el mismo fin. En prue</t>
  </si>
  <si>
    <t>Drouilhet, Esteban</t>
  </si>
  <si>
    <t>Esteban Drouilhet</t>
  </si>
  <si>
    <t>uviese deberá entregarlos en Zamora á este, en Bilbao á..dicho Masquiaran, y en Madrid, ¿.los Sres. D. Esteban Drouilhet y compañía:. Por la audiencia del Sr.. D». Manuel-de Torres, del Consejo de S. M: , Tenien-.te Corregidor de esta-villa,. y escribanía- del: número- de D.. Tomas .de Sancha y Prado</t>
  </si>
  <si>
    <t>Drummond</t>
  </si>
  <si>
    <t>804. TURQUIA. Constantinopia 2$ de Noviembre dé i8oj. El 17 de este mes ha salido, para Inglaterra, Mr. Drummond, Ministro de S. M. Británica. El buque que le conduce ha tomado la ruta de Varna. El Capitán Baxá ha llegado á esta ciudad el día 16 , y ha sido recí-bido con muchos honores. Su e</t>
  </si>
  <si>
    <t>Du-Tour</t>
  </si>
  <si>
    <t>Breslaw, hace mención de otra lluvia de azufre en Brunswik, por Octu-" Jbre de 1721; y, por último, Mr. Du-Tour, en el tomo 18 del nuevo Diccionario de historia natural, artículo pin, dice haber visto asustadas las gentes de Burdeos por una lluvia de esta especie; y el inocente polvo de los</t>
  </si>
  <si>
    <t>Duarte, Miguel</t>
  </si>
  <si>
    <t>Miguel Duarte</t>
  </si>
  <si>
    <t>de las Compañías fixas de Melilla D. Francisco Martin: en el de Ultonia al Cadete del ñxo de Ceuta D. Miguel Duarte; y en el de la Princesa al Cadete de la Compañía íixa del Peñón D. Manuel Bausa. En el Regimiento de infantería de Córdoba se ha servido el Rey promover á Teniente al Subteniente</t>
  </si>
  <si>
    <t>Dubarry de Colome, Joaquín</t>
  </si>
  <si>
    <t>Joaquín Dubarry de Colome</t>
  </si>
  <si>
    <t>o Floreusse : á Cadete de número al Supernumerario D. Isidoro Ibarraj y á Supernumerario al Guardia D. Joaquín Dubarry de Colome. También se ha dignado S. M. conceder Tenencia de granaderos en el regimiento de infantería Suizo ambulante de Rutíman al Teniente D. Francisco Jacobo Neíf: y en el de Traxler Ten</t>
  </si>
  <si>
    <t>Dubois-Tainville</t>
  </si>
  <si>
    <t>a de Madrid , concebida en estos términos: ,, El Embaxador de Francia me ha comunicado una carta de Mr. Dubois-Tainville, Encargado de negocios del gobierno francés en Argel , con fecha de 3 de Abril , en qué dice que ésta Regencia , después de haber cumplimentado con toda veneración la órdén , envi</t>
  </si>
  <si>
    <t>Duboys, Agustín</t>
  </si>
  <si>
    <t>Agustín Duboys</t>
  </si>
  <si>
    <t>Fen-er : de Brigadier al Subngadier D. Maximiliano Vandersteen : de Subrigadier. al Portaestandarte D. Agustín Duboys; v ha nombrado Cadetes supernumerarios a los Guaruia^D. isidro oe íbarra y D. Mateo P^ondel/ . . t n j i S M se ha:servido conferir la Comandancia del tercer batallón del re2¡mien</t>
  </si>
  <si>
    <t>Ducan, Capitán</t>
  </si>
  <si>
    <t>Capitán Ducan</t>
  </si>
  <si>
    <t>e 4$ libras esterlinas, en testimonio de su afecto y aprecio. Trabajando unos albañiles en casa del Capitán Ducan han encontrado debaxo de las tejas, una urna de plata con 700 guineas con la efigie de Jorge 1, gran cantidad de medallas antiguas , y otros efectos preciosos. Ha llegado la ñota</t>
  </si>
  <si>
    <t>Ducasi, Ignacio</t>
  </si>
  <si>
    <t>Ignacio Ducasi</t>
  </si>
  <si>
    <t>l Convento de la Encarnación de la villa de Madrid, vacante por promoción de D. Doiñingo Andrés , á D. Ignacio Ducasi, Capellán de Altar, y Músico en la'cuerda de baxo de aquella Iglesia; y para una Ración de la Catedral de Canaria, vacante por proinocion de D. Antonio Ruiz á la Dignidad de Prior</t>
  </si>
  <si>
    <t>Ducfcworth, Almirante</t>
  </si>
  <si>
    <t>Almirante Ducfcworth</t>
  </si>
  <si>
    <t>anterior. GRAN BRETAÑA. Londres 11 de Febrero. La gazeta ele Londres del 7 contiene los pliegos del Almirante Ducfcworth, en que da parte de la evacuación del Cabo Francés por ei General Rochambeau, y de la capitulación ajustada entre este General v el Conmodoro Loring, para la rendición de la esqua</t>
  </si>
  <si>
    <t>Duchet</t>
  </si>
  <si>
    <t>ruebas de la mnemónica , ó arte de la memoria, inventado últimamente por el Barón Bávaro de Aretin. Mr. Duchet ha abierto una subscripción : luego que esté completa ^revelará su secreto, que, según él dice, no hay cosa mas sencilla en el mundo. En efecto, se cuenta que en su viage por Erla</t>
  </si>
  <si>
    <t>9 71 PRUSIA. Berlin 26 de Setiembre. Esperando que Mr. Duchet, enviado aquí por el Barón de Aretin, nos proporcione ser testigos oculares y auriculares de los prodigios de la mnemónica, ó arte dé la memoria, sabemos por las Gazetas de Bavier</t>
  </si>
  <si>
    <t>Duckworth, Almirante</t>
  </si>
  <si>
    <t>Almirante Duckworth</t>
  </si>
  <si>
    <t>ÑA. Londres 14 de Diciembre de 1803. El 10 de este mes se recibieron en el Almirantazgo pliegos del Almirante Duckworth, con fecha de 29 de Setiembre en la Jamayca , participando haberse entregado prisioneras de guerra las guarniciones del Mole y de Puerto Delfín en Sto. Domingo, las que hallándose</t>
  </si>
  <si>
    <t>oticia que ha corrido* de que la ciudad de NuevaYorck se hallaba afligida de la fiebre amarilla. EL Almirante Duckworth escribe desde la Jamayca al Almirantazgo, anunciándole que la esquadra» á sus órdenes, ha apresado ó destruido cinco corsarios franceses y una goleta nacional de guerra. Se han cogi</t>
  </si>
  <si>
    <t>lee la noticia de la presa de los corsarios Franceses el Buitre y la Golondrina por la esquadra del Almirante Duckworth. En el mes de Abril ultimo la ciudad de Londres decreto un voto de gracias al Lord NeUon por su perseverancia en el bloqueo de Tolon.__ Ultimamente se ha publicado la respuesta de</t>
  </si>
  <si>
    <t>Duderney</t>
  </si>
  <si>
    <t>carros de municiones, y 44 banderas.__ Los 15 batallones enviados desde el Dekan, á las órdenes de Mr. Duderney, y los 2 batallones que se habían escapado de Delhi, han sido derrotados : de manera que ya no queda nada de las tropas regladas de Scindia, mandadas por oficíales franceses___ No</t>
  </si>
  <si>
    <t>Duka, Feld-Mariscal</t>
  </si>
  <si>
    <t>Feld-Mariscal Duka</t>
  </si>
  <si>
    <t>alitzia, el 2.0 enddbhemia, el 3i°‘€n Carin-tia, y el 4.0 en el gran ducado dé Venecia. Ei Teniente-Feld-Mariscal Duka, amigo Intimo del Príncipe Carlos, lia marchado á Italia á pasar févfstá' á las tropas qile hay en el país véneto./</t>
  </si>
  <si>
    <t>Dükenson</t>
  </si>
  <si>
    <t>rra á Mr. William Dundas. Ayer aespacháron por primera vez Lord Melville, el Almirante Gam* feieryr Mr. Dükenson, nuevos Lores del Almirantazgo. y ITALIA. Ñapóles 10 de Mayo. ■S. M. se ha dignado conceder su retiro del Ministerio de los Negocios extranjeros al caballero d’Acton, nombrando pa</t>
  </si>
  <si>
    <t>Dumas</t>
  </si>
  <si>
    <t>cia experimental filosófica y médica del hombre vivo: escrita en francés por el ciud. Dumas, del Instituto nacional &amp;c., y traducida por D. Juan Vicente Carrasco: quaderno 4.0, con el que se concluye el tomo i.°, terminando en él los preliminares de l</t>
  </si>
  <si>
    <t>Dumas, Carlos Luis</t>
  </si>
  <si>
    <t>Carlos Luis Dumas</t>
  </si>
  <si>
    <t>oducción á la ciencia experimental filosófica y médica del hombre vivo , por el ciud. Carlos Luis Dumas, del Instituto nacional de Francia Scc., traducida por D. Juan Vicente Carrasco: quaderno 3.0, que trata del hombre &gt; de su, formación, de su estructura y vari</t>
  </si>
  <si>
    <t>Dumonceau, General</t>
  </si>
  <si>
    <t>General Dumonceau</t>
  </si>
  <si>
    <t>esta colonia. El dia 11 salieron de aquí para Utrech las tropas bátavas, que tiene á sus órdenes el General Dumonceau ; y en los dos dias siguientes han marchado para igual destino varios batallones, esquadrones, y la artillenría ligera. Las cartas del norte avisan al comercio de Amsterdam, que 4</t>
  </si>
  <si>
    <t>El departamento de lá Guerra se pondrá en el mismo píe que el Colegio de la Guerra en Berlín, y el General Dumonceau será el gefe. de este ramo. Para los demas se nombrarán los sugetos de notorio mérito y probidad , y cuya conducta no haya sido equívoca en las diferentes revoluciones que hemos s</t>
  </si>
  <si>
    <t>Dumont, General</t>
  </si>
  <si>
    <t>General Dumont</t>
  </si>
  <si>
    <t>que las han tratado con la mayor humanidad. El Capitán Bligh alcanzó de ios negros la libertad del General Dumont y de su comitiva, que había caído en su poder, y se hallaba en inminente riesgo. En el Puerto Delfín se ha apresado la fragata la Sabiduría de 32 cañones. La Compañía de la India ha re</t>
  </si>
  <si>
    <t>Dumouner, General</t>
  </si>
  <si>
    <t>General Dumouner</t>
  </si>
  <si>
    <t>gualmente que contra la seguridad de la Francia. También ha ssfibi'Uo que el Duque de Englrién y el General Dumouner se hallaban en Jlfitenljcim, y como es imposible que esten allí sin el ^permiso de S. Aáii'SS. JE.-, no ha podido el primer Cónsul mirar sin grave dolor que un Príiauti^e í quien</t>
  </si>
  <si>
    <t>Dumoutier, General</t>
  </si>
  <si>
    <t>General Dumoutier</t>
  </si>
  <si>
    <t>de añil, hoo® dé azúcar, y de 800:baras de lencería, muselinas y seda. Coblentza $ de Setiembre. El General Dumoutier, Edecán del Emperador,. llegó aquí ántes de ayer, y examinó inmediatamente el palacio que ocuparán $$. MM. Ayer pasó revista á la guardia nacional. La guardia de honor, que debe h</t>
  </si>
  <si>
    <t>Duncan, Almirante</t>
  </si>
  <si>
    <t>Almirante Duncan</t>
  </si>
  <si>
    <t>elas procedentes, del Mediterráneo , una flota de Portugal, y .17 navios, de la China. Ha muerto el Almirante Duncan. FRANCIA. Botona ij de, Agosto. Ayer á las 3 y media de la tarde hubo un combate entre nuestra es-? quadrilla y algunos buques de la esquadra inglesa mandada por el Airmirante Kei</t>
  </si>
  <si>
    <t>Duncan, Lord</t>
  </si>
  <si>
    <t>Lord Duncan</t>
  </si>
  <si>
    <t>Dícese que Lord Keith sucederá al Almirante Cornwallis en el mando de la esquadra del Canal, y que Lord Duncan mandará en las Dunas. Estos dias pasados ha reinado en Dublin la mayor inquietud, ocasionada por el temor de una nueva insurrección. Se juntáron los Yeomens en sus diferentes pues</t>
  </si>
  <si>
    <t>Dundas, General</t>
  </si>
  <si>
    <t>General Dundas</t>
  </si>
  <si>
    <t>persona que envióA Santo Domingo-el Gobernador Nugent. Escriben de Deal que está de vuelta allí el General Dundas,que fué'á bordo 'de la fragata Inmortalidad á examinarlas costas inmediatas á Boloña. -Luego que llegó tuvo una larga conferencia con el Almirante de «ste puerto. - ó ; . i; , -.S</t>
  </si>
  <si>
    <t>Dunlo, Lord</t>
  </si>
  <si>
    <t>Lord Dunlo</t>
  </si>
  <si>
    <t>deTortland, los Lores Hawkesbury, Cainb-, den., Harrowby, Mr.Pitt, Lord Glenbervié, Mr. Wallace, y Lord Dunlo. — También ha nombrado S. M. caballero de la orden del Baño á Mr. Arthur Paget-, su Enviado extraordinario en la corte de Viena. Dícese que Mr. Forster ha sido nombrado Canciller</t>
  </si>
  <si>
    <t>to.” Sin embargo de todo esto, Mr. Stanhope continuó hablando contra la inaudita oposición. Apoyóle Lord Dunlo, apelando á los miembros de la oposición que tenian sentimientos de justicia y de honor* Entre tanto se pasaba el tiempo; pero la oposición no dexó dé conocer que el,partido contr</t>
  </si>
  <si>
    <t>Dupin</t>
  </si>
  <si>
    <t>r; ) En el Monitor se extracta una Memoria estadística del departamento dé los Sevres ( escrita por Mr. Dupin), que es un tercio del terreno que antes se llamaba Poitou. __ El capítulo en que trata de la meteorología es muy notable, por la copia de observaciones curiosas acerca de la dive</t>
  </si>
  <si>
    <t>Duque de Richelieu, Teniente General</t>
  </si>
  <si>
    <t>Teniente General Duque de Richelieu</t>
  </si>
  <si>
    <t>res obras ha librado la cantidad de 1.940® pesos fuertes. Entre-otras prevenciones , comunicadas al Teniente General Duque de Richelieu, Gobernador de Oiessa, se le ha encargado muy particularmente que á todos los extrangeros que quieran íixar allí su^ residencia, les conceda los auxilios y protección que sean con</t>
  </si>
  <si>
    <t>Duque, Teniente General</t>
  </si>
  <si>
    <t>Teniente General Duque</t>
  </si>
  <si>
    <t>zow, Presidente de la Academia de las ciencias de Petersburgo. £1 Emperador de Rusia ha señalado al Teniente General Duque de</t>
  </si>
  <si>
    <t>Durameau</t>
  </si>
  <si>
    <t>vo;- Procedióse á reemplazarlo ú y1 resultó'del escrutinio haberlo/-sido por el ciud. Durameau.' Dio luego fel'Cuerpo legislativo éf decreto de; la nómina qué-habiá de-presentarse-ai primer Cónsul por me*; dió de un mensage,- y se terminó la junta del ro</t>
  </si>
  <si>
    <t>Duran, Francisco</t>
  </si>
  <si>
    <t>Francisco Duran</t>
  </si>
  <si>
    <t>s mismas nobles artefc que quieran manifestar obras en dichas salas, podrán entregarlas al Cbnserge D. Francisco Duran, que vive en la misma casa, acudiendo después á recogerlas. Deseosa la Real junta de hospitales General y Pasión de esta corte de promover y mejorar el importantísimo estudio de l</t>
  </si>
  <si>
    <t>Duran, Francisco Xavier</t>
  </si>
  <si>
    <t>Francisco Xavier Duran</t>
  </si>
  <si>
    <t>garle en dicho Corregimiento ínterin sea de su Real voluntad. También ha venido S. M. en conceder á D. Francisco Xavier Duran, Oidor de la Chancillería dé Valladolid, los honores de Alcalde de su Real casa y corte. En América, En el batallón de infantería provincial de Guadalaxara, en el reyno de Nueva-E</t>
  </si>
  <si>
    <t>ara la plaza de Alcalde de su Real casa y corte, vacante por fallecimiento de D. Joaquín Herranz, ¿ Don Francisco Xavier Duran: para la de Oidor, que este dexa en la Chancillaría de Valladolid, á D. Antonio Apellaniz, Alcaide del crimen mas antiguo de ella; y para esta resulta á D. Pedro Simó. En el dia 2</t>
  </si>
  <si>
    <t>Duran, Pedro</t>
  </si>
  <si>
    <t>Pedro Duran</t>
  </si>
  <si>
    <t>ar y¡ ai. Teniente de granaderos Esteban de Liñan^ á Ayudantes á los Tenientes. D; Miguel Quintana, D. Pedro Duran y. D. Mariano Gascón ; á Teniente de granaderos al de fusileros D. Diego de Salas; á Tenientes á tos Subtenientes de granaderos D.; Josef Bergaña., D* Mauricio Fornell y D- Josef Vi</t>
  </si>
  <si>
    <t>Duran, Ramón</t>
  </si>
  <si>
    <t>Ramón Duran</t>
  </si>
  <si>
    <t>y promover á Capitanes al Teniente de granaderos D. Martin Gutiérrez y Fernandez, y al de fusileros D. Ramón Duran; á Tenientes á los Subtenientes D. Manuel Parodi, D. Fernando Antonio Cambre y D. Josef López Portillo; á Subteniente de granaderos ál Cadete D. Manuel Estrada; á Subtenientes dé</t>
  </si>
  <si>
    <t>rse al Teniente D. Isidoro. Gp-t mez, promovido á Capifán'y y se expresó «habeí tenido este ascenso Don Ramón Duran, debiendo ser el de Teniente de granaderos. i— ■ ------- — —----- :----- --- C ——-------- : 1 ! —■ ‘ ■ ’ El Mercurio de España: de.31 da: Marzo se hallará en el despacho de fa imp</t>
  </si>
  <si>
    <t>Durango, Francisco</t>
  </si>
  <si>
    <t>Francisco Durango</t>
  </si>
  <si>
    <t>Joseph Ligero. ■'■•h En Valencia....... Sres. D. Francisco Peyrolon y compañía. En Valladolid......D. Francisco Durango é hijo mayor. En Zamora........... D. Vicente Perez de Tejada. En Zaragoza."..". D. Tomas de la Madrid. : ' 4 En Z¿uta...." D. Pedro Huguet , comisionado subalterno del de Cádiz.</t>
  </si>
  <si>
    <t>Durante, Julián</t>
  </si>
  <si>
    <t>Julián Durante</t>
  </si>
  <si>
    <t>ubtenientes de bandera en el del Príncipe y en el batallón de Voluntarios de Valencia á los Cadetes D. Julián Durante y D. Juan Cardona Galiano, este del regimiento de infantería de Borbon. El Rey se ha servido conferir la Sargentía mayor del regimiento de infantería de la Reyna al Teniente Coronel D</t>
  </si>
  <si>
    <t>Duroc</t>
  </si>
  <si>
    <t>de Estado, ha sido nombrado Intendente de la lista civil; Mr. de Ségur,gran Maestro de ceremonias,y Mr. Duroc, gran Mariscal de palacio. Mr. Necker lia dexado en su testamento para la inclusa de esta capital 3® pesetas, que ha remitido Madama de Stael, su hija. Mr. Livingston, Ministro pl</t>
  </si>
  <si>
    <t>tros austríacos, los individuos del Cuerpo Diplomático, y los de la primera nobleza----- Dícese que Mr. Duroc le sucederá en aquella embaxada. Se habla mucho de algunas representaciones hechas por una gran potencia á la Corte de Viena acerca de los proyectos del Austria para engrandecerse</t>
  </si>
  <si>
    <t>Duroc, General</t>
  </si>
  <si>
    <t>General Duroc</t>
  </si>
  <si>
    <t>ario de Estado al juramento, que hicieron en manos del Emperador. También presentó para lo mismo al General Duroc , Gobernador del palacio imperial----- El Condestable presentó á jurar á los Coroneles-generales Avoust y Bessleres, y al General Murat, Gobernador de París. También trae el Monit</t>
  </si>
  <si>
    <t>Ó20 Dase también por cierto que el Mariscal del Imperio, Berthier, será Montero mayor; el General Duroc , Mayordomo mayor del Emperador, y el General Caulincourt, Caballerizo mayor. ESPAÑA. Madrid 13 de Julio. En las Compañías Española y Americana del Real cuerpo de Guardias de Corp</t>
  </si>
  <si>
    <t>su casa de recreo, quando pase al Piamonte, y ha encargado á S. E. el Ministro de Hacienda, Mr. el General Duroc, Gobernador del palacio, y á mí como Administrador de los edificios, el organizar la casa imperial, como se os ha hecho saber anteriormente. También ha dotada el palacio de Stupin</t>
  </si>
  <si>
    <t>gión de honor___ .También ha nombrado grandes oficiales del palacio imperial al Cardenal Eesch , al General Duroc ., Talleyrand, Berthier, Caplaincontt, y al Consejero de Estado Segur.__ ¡Mr. Fleurieu ha sido nombrado Intendente general de la casa imperial ; Mr.. Reinusat, primer Chambelam.;</t>
  </si>
  <si>
    <t>Durvvel, Gaspar</t>
  </si>
  <si>
    <t>Gaspar Durvvel</t>
  </si>
  <si>
    <t>z. En el Real cuerpo de Ingenieros del exército se ha dignado S. M. promover á Capitanes primeros á D. Gaspar Durvvel y D. Francisco Serrallach, Capitanes segundos; y á este empleo á los Tenientes D. Nazareo de Eguia y D. Simón Trevilla. S.M. se ha servido promover en el regimiento de caballería del</t>
  </si>
  <si>
    <t>Duthon</t>
  </si>
  <si>
    <t>erra en nuestra corte, saldrá en breve para Londres con licencia , y se duda mucho que vuelva aquí. Mr. Duthon, Encargado de Negocios de la República de las SieteIslas, ha sido reconocido como tal, y ha tenido la primera audiencia con Mr. el Conde de Cobentzel. Ayer ha salido para Buda S.</t>
  </si>
  <si>
    <t>D’Arcens, Pedro Bernardo</t>
  </si>
  <si>
    <t>Pedro Bernardo D’Arcens</t>
  </si>
  <si>
    <t>brar para unaCanongía de la Catedral de Osma, vacante por fallecimiento de D. Felipe Sanz García, á D. Pedro Bernardo D’Arcens: para una Ración de la deTudela, por promoción de D. Antonio Francisco Yanguas á Canongía de la misma, á D. Bernardo Carasusan: para una Capellanía de número de la de Santo Doming</t>
  </si>
  <si>
    <t>D’esmarest, Carlos</t>
  </si>
  <si>
    <t>Carlos D’esmarest</t>
  </si>
  <si>
    <t>allana. A Alféreces de Navio los de Fragata' D. Juan Patricio Fournier, D. Luis Pedro Broysgroller, D. Carlos D’esmarest, D. Diego de la Vega, D. Josef de León, D. Luis Pardo, D. Josef Chacón, D. Martin de la Quintana, D. Cayetano Picado, Don Francisco Villavicencio, D. Luis de Basave, D. Francisco</t>
  </si>
  <si>
    <t>Eabricius</t>
  </si>
  <si>
    <t>10 de Agosto. En el Electorado de Badén se está ventilando en el día una qiiestíon muy importante. Mr. Eabricius, de Bruchsal, funcionario católico del</t>
  </si>
  <si>
    <t>Ealbi</t>
  </si>
  <si>
    <t>pública,. Con este motivo se les ha señalado un terreno cómodo.. El Senado, en vísta del informe de Mr. Ealbi, encargado de la parte de los cultos, no ha visto en estos religiosos sino hombres zelosos ,. que viven con el trabajo de sus manos, hacen servicios á la agricultura , y se ocupan</t>
  </si>
  <si>
    <t>Ebneter, Juan</t>
  </si>
  <si>
    <t>Juan Ebneter</t>
  </si>
  <si>
    <t>ranaderos D. Antonio Imhoff: en el de Traxler Capitanes segundos al Ayudante, graduado de Capitán i D. Juan Ebneter , y al Teniente D. Melchor Niderberger; Teniente de granaderos al de fusileros D. Josef Niderberger, y Teniente de fusileros al Subteniente de granaderos D. Cárlos Peyer. S. M. se</t>
  </si>
  <si>
    <t>Echepare, Fernando</t>
  </si>
  <si>
    <t>Fernando Echepare</t>
  </si>
  <si>
    <t>lo» comisionados siguientes: En Alicante......... D. JuanCasou y compañía. En Avila............... D. Fernando Echepare y sobrinos. En Badajoz...........D. Tomas Merino Ortiz. En Barcelona....... D. Ramón de Llordella é hijo. En Búrgos............D. Andrés Fray le. En Cdaiz............... D. Benito d</t>
  </si>
  <si>
    <t>contfcf sionados siguientes: En Alicante..........D. Juan Casou y compañía. E?t Avila.............. D. Fernando Echepare y sobrinos* En Badajoz.^.'......D. Tomas Merino Ortiz. En Barcelona.......D. Ramón de Llofdella ¿ hijo. En Burgos........i... D. Andrés Frayle. En Cádiz.............. D. Benito de l</t>
  </si>
  <si>
    <t>los comisionados siguientes: J}n Alicante*........ D. JuanCaspu y compañía. En Avila.... ......... D. Fernando Echepare y sobrinos. , En Badajoz.......... D. Francisco Fernandez de la Peña y de S. Miguel, En Barcelona....... D. Ramón de Llordeila é hijo. En Btírgos............ D. Andrés Fray le. En C</t>
  </si>
  <si>
    <t>Edmundo Tugener</t>
  </si>
  <si>
    <t>el Regimiento de infantería Suizo de Wimpffen se ha servido promover el Rey á Subteniente al Cadete D. Edmundo Tugener: en el de Courten á Teniente de granaderos al de fusileros D. Adriano Waiker: en el de Traxler á Capitán de granaderos al Capitán segundo D. Antonio Chruten; á Subteniente de gran</t>
  </si>
  <si>
    <t>Eduardo</t>
  </si>
  <si>
    <t>erario D. Francisco Sanz, y al Guardia D. Francisco Verdinois, y á Cadete supernumerario al Guardia D. Eduardo ;CIavijo; y en la Compañía Flamenca del mismo Real cuerpo ha promovido tambien á Cadete supernumerario al Guardia D. Antonio de Aguilar. En los regimientos de infantería de Granad</t>
  </si>
  <si>
    <t>Eduardo Jenner</t>
  </si>
  <si>
    <t>o del público español, papel en 8.a: su precio un reaI.rzr Retrato del inmortal Eduardo Jenner, Médico Ingles, descubridor de la vacuna, prodigioso y único preservativo de las viruelas: su precio real y medio. Se hallarán en lá librería de Fuentenebro y compañía, calle de las Carre</t>
  </si>
  <si>
    <t>Eduardo María Sáenz</t>
  </si>
  <si>
    <t>la Nunciatura de AÍadrid, la dignidad de Chantre de la catedfáí de Lérida, vacante por promccion de D. Eduardo María Saenz: á DFBenito Gltega la dignidad de Tesorero de la catedral dé Tarazonay vacante por fáfíectmíento de -D. Jp'^quin Azpuro; y á D. Agustín Alartinez.,Cabeza ,&lt;!&amp; Vaca. la Abadía de S</t>
  </si>
  <si>
    <t>Eduardo Prible</t>
  </si>
  <si>
    <t>el Real servicio y del público. . ■ Escriben de Cribr altar con fecha de 2(a de Marzo lo siguiente. Mr. Eduardo Prible, gefe de las fuerzas navales de los Estados-Unidos dé América, destinados á proteger su comercio marítimo en el Mediterráneo, y á hostilizar á los tunecinos y tripolinos , avisa d</t>
  </si>
  <si>
    <t>Eduardo Sáenz de la Guardia</t>
  </si>
  <si>
    <t>catedral de Lérida, vacantes por promoción de D. Joaquín Carrillo Mayoral al obispado de Zamora, á D. Eduardo Saenz de la Guardia. El Rey se ha servido promover á Mariscal de Campo de sus exérci</t>
  </si>
  <si>
    <t>Eduardo Wisar de Bocarme</t>
  </si>
  <si>
    <t>mientos de caballería de línea ;se ha servido el Rey promover á Teniente Coronel del del Príncipe á D. Eduardo Wisar de Bocarme, Teniente Coronel agregado al de húsares Voluntarios: áTejientes en los del ReyyBorbon y Santiago á D. Miguel de Corpas, Don Josef Sarralde, D. Pedro Rodríguez y D. Francisco Serr</t>
  </si>
  <si>
    <t>Edward Littlehales</t>
  </si>
  <si>
    <t>a gente que debe suministrar, baxo pena de 1200 libras esterlinas. En conseqiiencia se ha escrito á Sir Edward Littlehales, manifestándole la imposibilidad de cumplir con lo;dispuesto en dicha acta, y suplicándole que suspenda la execucion hasta que se hagan algunas enmiendas. Escriben de Bassora que</t>
  </si>
  <si>
    <t>Eesch, Cardenal</t>
  </si>
  <si>
    <t>Cardenal Eesch</t>
  </si>
  <si>
    <t>de miembros de la Legión de honor___ .También ha nombrado grandes oficiales del palacio imperial al Cardenal Eesch , al General Duroc ., Talleyrand, Berthier, Caplaincontt, y al Consejero de Estado Segur.__ ¡Mr. Fleurieu ha sido nombrado Intendente general de la casa imperial ; Mr.. Reinusat,</t>
  </si>
  <si>
    <t>Egger</t>
  </si>
  <si>
    <t>os, comunales &amp;c. Los principales personages arrestados por esta causa, eran el ciud. Egger (de Arwangen), miembro del Consejo mayor del cantón de Berna, y el Coronel Muller, del mismo común.__ El tribunal del distrito, que pronunció en esta causa en</t>
  </si>
  <si>
    <t>Eguia, Félix</t>
  </si>
  <si>
    <t>Félix Eguia</t>
  </si>
  <si>
    <t>ad de Pentecostés ó venida del Espíritu Santo y su octava , según el breviario y misal romano : por D. Félix Eguia , presbítero : un tomo en o.° Se hallará en la librería de Baylo, calle de las Carretas. Variedades de ciencias , literatura y artes: núm. 8. Se hallará suelto, y con los anterior</t>
  </si>
  <si>
    <t>Ehringer, Juan</t>
  </si>
  <si>
    <t>Juan Ehringer</t>
  </si>
  <si>
    <t>nio Díaz Noruega.................... Por el presente se cita, llama y emplaza á Juan Ehringer, natural de La ufen, en el arzobispado que fué, y actual electorado de Sálisburgo, de donde se ausentó hace go años, sin haber tenido otra noticia de su paradero, que el haber pasado á ser</t>
  </si>
  <si>
    <t>Eieuterto Crgifliipe</t>
  </si>
  <si>
    <t>, á 7 rs. en rústica. Cartas crítiaiiHfncoserias, que en defensa de la literatura Española^escribia Don Eieuterto Crgifliipe ¿Andorra. Se hallarán á 2 rs. en la librería de Argueta, calle / da la Montera; ««Granada en la de Colon, en Sevilla en la de Berard, y en Cádiz en la de BNj&amp;A. IMPRENTA REAL.</t>
  </si>
  <si>
    <t>El Barón de Albini</t>
  </si>
  <si>
    <t>en el Imperio; y los negocios de la Orden Eqiiestre. Francfort 13 de Noviembre. El Barón de Albini, Ministro Directorial cerca de la Dieta de Ratisbona, presento el 5 de este mes al Colegio de los Electores el proyecto de convenio, relativo al arbitrio de navegación del Rhin., en los tér</t>
  </si>
  <si>
    <t>El Barón de Gemmingen</t>
  </si>
  <si>
    <t>establecida para executar el conservatorio Imperial, ha suspendido sus juntas. El Barón de Gemmingen, Ministro de Badén, y uno de los individuos de ella, ha salido para Viena. Francfort 14 de Abril. Según las últimas noticias del Rhin Inferior , ha entrado en Bhene del Ems una partida de s</t>
  </si>
  <si>
    <t>El Barón de Ivoi</t>
  </si>
  <si>
    <t>donde los ingleses han quedado prisioneros baxo la custodia de nuestra tropa. • El Barón de Ivoi, Ministro del último Stadthouder, ha llegado á esta ciudad acompañado de Mr. de Fagel, para tratar asuntos de intereses de su amo. Dícese que el campamento de las cercanías de Utrech se com</t>
  </si>
  <si>
    <t>El Capitán Lewis</t>
  </si>
  <si>
    <t>20© hombres, se concluyó la paz sin que tuviéramos que tirar ni un cañonazo. . El Capitán Lewis, Secretario particular del Presidente, y el Capitán Glarcb , han pasado últimamente por Tennesée , volviendo á subir el Misisipí para examinar el territorio menos conocido de la Luisiana. Lle</t>
  </si>
  <si>
    <t>El Cardenal Josef Fesch</t>
  </si>
  <si>
    <t>dos del gobierno, y mucha nobleza de uno y de otro, sexo. Roma 10 de Diciembre. El Cardenal Josef Fesch , Ministro plenipotenciario de la República francesa cerca de la santa Sede, y la Princesa Borghese, han dado parte á la nobleza de esta capital del matrimonio del Príncipe D. Cami/</t>
  </si>
  <si>
    <t>El Comendador Rufto</t>
  </si>
  <si>
    <t>detuvieron algún tiempo en el Sund por los hielos. ALEMANIA. Viena 8 de Marzo, El Comendador Rufto, Ministro de Ñapóles,ha tenido éstos dias'ultimos muchas conferencias con el Conde de Rasumowski, Embaxador ■de Rusia , en cuya conseqiiencia ha expedido un correo á Ñapóles. Es probale que</t>
  </si>
  <si>
    <t>El Conde de Belicval</t>
  </si>
  <si>
    <t>amente los de Hungría, son de tan buena calidad como qualquiera otro de afuera. El Conde de Belicval, Ministro del gabinete del Príncipe Ipsilanti,</t>
  </si>
  <si>
    <t>El Conde de Cobentzel</t>
  </si>
  <si>
    <t>s de su resolución de ir á París á coronar al nuevo Emperador de los Franceses. El Conde de Cobentzel, Ministro de Negocios extrangeros, ha sido llamado á Praga, donde se hallaba el Emperador, según las últimas noticias , para conferenciar con S. M. y con el Archiduque Cárlos sobre asuntos</t>
  </si>
  <si>
    <t>El Conde de Goe-rtz</t>
  </si>
  <si>
    <t>er del Imperio Germánico, y que recaerá esta dignidad en el Archiduque Antonio. El Conde de Goe-rtz, Ministro Prusiano cerca de la Dieta de Ratis</t>
  </si>
  <si>
    <t>El Conde de Goertz</t>
  </si>
  <si>
    <t>ad, y que en nitt*gun caso puedan ocasionar la menor inquietud y dolor á S. S.” El Conde de Goertz, Ministro de Brandenbourg, ha hecho saber á la dictadura que el Rey de Prusia declara, que perseverará invariablemente en los principios manifestados contra los vasallos de la orden Eqüestr</t>
  </si>
  <si>
    <t>ncipalmente á los libreros, que vendan y distribuyan dicho libelo infamatorio.” El Conde de Goertz, Ministro Prusiano en Ratisbona, acaba de comunicar á sus colegas, en circular , una decisión importante de S. M.Prusiana, acerca de la nueva forma de los cabildos que existen en las antigu</t>
  </si>
  <si>
    <t>muchos conscriptos, entre ellos muchos Piamonteses. Ralisbona 26 de Setiembre. El Conde de Goertz, Ministro de Prusia, ha tenido después de su vuelta á esta ciudad una larga conferencia con el Comisario Imperial Barón deHugel, quien partirá dentro de pocos dias para Nuremberg , en calid</t>
  </si>
  <si>
    <t>El Conde de Munster</t>
  </si>
  <si>
    <t>s dé línea y dos fragatas zarparán de aquí para el Mediterráneo, según se dice. El Conde de Munster, Ministro Hannovenano cerca de nuestra Corte, saldrá muy en breve para la de Londres. Si es cierto que nuestro gabinete ha insinuado desear que no se reemplace á dicho Enviado del Rey Jorge</t>
  </si>
  <si>
    <t>El Conde de RomanzofF</t>
  </si>
  <si>
    <t>smo objeto. Mr. Donincourt ha sido nombrado Montero mayor. Hamburgo jo de Mayo. El Conde de RomanzofF, Ministro de comercio en Rusia, acaba de publicar un estado del comercio exterior de aquel Imperio : cosa harto rara en un país donde todos estos asuntos andaban envueltos en el secreto mas</t>
  </si>
  <si>
    <t>El Conde de Worqhzoíf</t>
  </si>
  <si>
    <t>blecido, y hace algunos dias que fue á pasearse hasta el palacio de la Táurida. El Conde de Worqhzoíf, Ministro de Estado, está para marchar 1 Mospow. Se siente mucho que su avanzada edad y los achaques de su salud hayan obligado á ester respetable anciano á separarse careramente dé los neg</t>
  </si>
  <si>
    <t>El Conde Vicente de Ivollovrath-Liebsteinsky</t>
  </si>
  <si>
    <t>eto quedan eximidos de la potestad territorial del Elector. Viena y de Febrero. El Conde Vicente de Ivollovrath-Liebsteinsky , Teniente general al servicio de la Austria, ha tenido el honor de presentar, el 25 de Enero, á S. M. sus credenciales en calidad de Ministro plenipotenciario de la orden de Malta. • Francf</t>
  </si>
  <si>
    <t>El Doctor Carro</t>
  </si>
  <si>
    <t>an salido estos dias para el campamento cerca de Lunebourg. Viena 28 de Agosto. El Doctor Carro, Médico de esta capital, ha recibido noticias de varios Médicos y del Gobernador de Bombay, que anuncian haberse adop&gt; tado generalmente la vacuna en las posesiones Británicas de la India</t>
  </si>
  <si>
    <t>El General Brune</t>
  </si>
  <si>
    <t>16 , y ha sido recí-bido con muchos honores. Su esquadrilla entro 5 dias ántes. El General Bruñe, Ministro de Francia, continúa sus conferencias secretas con los Ministros de la Puerta. A conseqiiencia de las proposiciones de paz que hicieron á la Puerta los Beyes de Egipto, envió el G</t>
  </si>
  <si>
    <t>e Constatitinopla, publicado en varias gazeías alemanas, contiene lo siguiente: El General Bruñe, Ministro de Francia, ha quedado enteramente satisfecho de resultas de haberle manifestado el ReísEtfendi, que la Puerta quiere indemnizar á los franceses, cuyas propiedades fu é ron seaiie</t>
  </si>
  <si>
    <t>Elector ArchiCanciller del Imperio, Príncipe</t>
  </si>
  <si>
    <t>Príncipe Elector ArchiCanciller del Imperio</t>
  </si>
  <si>
    <t>nes mutuas entre el gefe y las demas dignidades. Se establece, por principio, que las dignidades de Príncipe Elector ArchiCanciller del Imperio, y la de Arzobispo Metropolitano y Primado de Germania, estarán perpetuamente unidas, y su jurisdicción se extenderá á las antiguas provincias Eclesiásticas de Maguncia, Tréveris</t>
  </si>
  <si>
    <t>Electoral de Baviera, Príncipe</t>
  </si>
  <si>
    <t>Príncipe Electoral de Baviera</t>
  </si>
  <si>
    <t>nciar y dirigir las obras relativas á las fortificaciones de aquella plaza. Hamburgo $ de Abril. El Príncipe Electoral de Baviera, aprovechando el tiempo de vacaciones de Pascua en la universidad de Gotinga, se halla actualmente incógnito en esta ciudad, con el titulo de Conde de Werdenfeli, y examina las cu</t>
  </si>
  <si>
    <t>e Negocios d&amp; Suecia en París. Augs burgo 16 de Setiembre. Hace dos dias que ha llegado á Munich el Príncipe Electoral de Baviera, después de haber concluido sus estudios en la famosa Universidad de Goettingen. Ayer empezaron las evoluciones en el campamento, que consta de 20 á 30® hombres. Este aparato mili</t>
  </si>
  <si>
    <t>Electoral de Wurtemberg, Príncipe</t>
  </si>
  <si>
    <t>Príncipe Electoral de Wurtemberg</t>
  </si>
  <si>
    <t>pruck se había puesto en marcha, y que 12 compañías de cazadores tiroleses, y 20 del regimiento del Príncipe Electoral de Wurtemberg, vendrán á acantonarse en (¿runzburgo y tus inmediaciones, cerca de las fronteras de Baviera. La misma.gazeta dice -que se-advierte un gran movimiento de tropas en las provinciasl</t>
  </si>
  <si>
    <t>Elfinstone</t>
  </si>
  <si>
    <t>el General Wellesley en nombre del Gobierno Británico con Doulat Rao Sandia, y el Raja de Berar---- Mr. Elfinstone ha sido nombrado Residente cerca de la costa del Raja de Berar.. FRANCIA. Taris Jj de Setiembre. En la sesión que celebró la clase de historia y de literatura antigua del I nstitu</t>
  </si>
  <si>
    <t>Elias</t>
  </si>
  <si>
    <t>pado. S. M. ha nombrado'Ayüdántes délos regimientos provinciales de Córdoba y Ecija á los Capitanes D. Elias‘Áyiloai y D. Josef Yañez, Tenien» tes de los de infantería inmemorial del Rey y de las Ordenes Militares. En América. En el regimiento de infantería provincial de Celaya, en el Re</t>
  </si>
  <si>
    <t>Elias García</t>
  </si>
  <si>
    <t>........ 141-25 Elias García.................... .... Zuedu............................... 141.-25 Tomas Vázquez......... ........ . Toledo.............. .......... *4r-25 Miguel Aguirre.........</t>
  </si>
  <si>
    <t>Elias Xavier de Lanza</t>
  </si>
  <si>
    <t>icio pontifical de Fazalcázar , que en la propia diócesis de Sevilla resultó vacante por ascenso de D. Elias Xavier de Lanza á una Canongía de la metropolitana de Zaragoza, á D. Ramón Juan Sainz de Arce: para el Beneficio sim</t>
  </si>
  <si>
    <t>Elisa Bonaparte-Bacciochi, Princesa</t>
  </si>
  <si>
    <t>Princesa Elisa Bonaparte-Bacciochi</t>
  </si>
  <si>
    <t>felicidad. Madama de Laplace, esposa del Canciller del Senado, ha sido nombrada Dama de honor de la Princesa Elisa Bonaparte-Bacciochi. Es general la emulación que se advierte para dar en el dia de la coronación del Emperador los testimonios mas indudables de zelo y de lealtad. Las personas que no tienen que asis</t>
  </si>
  <si>
    <t>Elisa, María (princesa)</t>
  </si>
  <si>
    <t>Princesa María Elisa</t>
  </si>
  <si>
    <t>elson. FRANCIA. Colonia 14 de Setiembre. : • El Duque de Baviera y sus hijos, el Príncipe Pío, y la Princesa María Elisa, han sido presentados á SS. MM., con quienes han comido hoy. CMentza 21 de Setiembre. Al pasar ayer por el camino del Rhin para ir á Maguncia, alcanzo á ver S. M¿, en una isieta d</t>
  </si>
  <si>
    <t>Elliot</t>
  </si>
  <si>
    <t>A. Londres $ de Diciembre. Cámara de los Comunes. * Concluye la junta del 5___ Mr. Yorke responde á Mr. Elliot. Comienza manifestando quan grave es la acusación que el honorable caballero hace al gobierno y á la Cámara de no atender á los asuntos de Irlanda con la seriedad que exige su imp</t>
  </si>
  <si>
    <t>Eloy, Francisco</t>
  </si>
  <si>
    <t>Francisco Eloy</t>
  </si>
  <si>
    <t>141-25 Francisco Eloy..................... María......................... . 141..25 ID. DEL NAVIO S. NICOLAS. Francisco Ruiz..................... Villa'cxcusa de Haro-.. *4»-2</t>
  </si>
  <si>
    <t>Elvira, Simón</t>
  </si>
  <si>
    <t>Simón Elvira</t>
  </si>
  <si>
    <t>Rey........ 283-16 Simón Elvira........................ Cabezón................. ......... *4I-2á Isidro Gudiel,- id.... Estrella............................ 283-16 Germán Fernandez..........</t>
  </si>
  <si>
    <t>Elzaurdi, Manuel</t>
  </si>
  <si>
    <t>Manuel Elzaurdi</t>
  </si>
  <si>
    <t>dad-Real... D. Ramón Antonio Pico. En Córdoba...... . Sres. Barcia padre é hijo. En la Coruña...... D. Manuel Elzaurdi. En Cuenca............ Sres. viuda de Escolar y Noriega ¿ hijo* En Granada........ D. Francisco Unzaga. En Guadalaxara. D. Isidoro García Plaza. En Jaén................D. Pedro y</t>
  </si>
  <si>
    <t>dad-Real... \&gt;. Ramón Antonio Pico. En Córdoba......... Sres. Barcia padre é hijo. En la Cor uña... D. Manuel Elzaurdi. En-Cuenca....... Sres. viuda de Escolar y Noriega e hijo. En Granada.... .... D. Francisco Unzaga. En Guadalapara. t&gt;. Isidoro García Plaza. En Jaén..... ......... D. Pedro y D.</t>
  </si>
  <si>
    <t>Elzaurdi, Manuel Antonio</t>
  </si>
  <si>
    <t>Manuel Antonio Elzaurdi</t>
  </si>
  <si>
    <t>Real... D. Ramón Antonio Pico. En Córdoba..,.,.,,.. Sres. Barcia padre é hijo. En la Coruña........ D. Manuel Antonio Elzaurdi. En Cuenca..............Sres. viuda de Escolar y Noriega é hijo. En Granada......... D. Francisco de Unzaga. En Guadalaxara. D. Isidoro García Plaza. En Jaén................. D. P</t>
  </si>
  <si>
    <t>Embajador Francés</t>
  </si>
  <si>
    <t>ues con mas tropas. Después de la llegada de dos correos de París, ha tenido el Embajador Francés varias conferencias con el Reis-Effendi Relativamente al reconocimiento del Emperador Napoleón. Hasta ahora no ha tomado la Puerta ninguna determinación sobre</t>
  </si>
  <si>
    <t>Embaxador Andreosi</t>
  </si>
  <si>
    <t>oso hacer mérito de la declaración confiada en Londres por un sastre francés al Embaxador Andreosi, en la qual se diabla de proyectos de asesinar al primer Cónsul___Después ¿finna , que aun dado caso de haber tenido Moreau noticia de la conspiración, ninguna</t>
  </si>
  <si>
    <t>Embaxador Austríaco Conde de Stadion</t>
  </si>
  <si>
    <t>ia desde Olmutz á Viena. Se confirma la noticia de ia salida de Fetersburgo del Embaxador Austríaco Conde de Stadion, quien se halla en camino para Viena. También ha salido de Stockoimo el Conde de Lodron, Ministro del Emperador. El Conde de Rasoumousky, Embaxador Ruso en Vie</t>
  </si>
  <si>
    <t>Embaxador Brune</t>
  </si>
  <si>
    <t>cido formalmente al Emperador Napoleón, y que el 12 de Octubre salió de allí el Embaxador Bruñe. Francfort jo de Noviembre. El Elector Archi-Canciller ha declarado que Mr. Portalis, Ministro de Francia cerca de su persona, tendrá el lugar preeminente desp</t>
  </si>
  <si>
    <t>Embaxador Conde</t>
  </si>
  <si>
    <t>á salir un correo Austríaco para Londres , y se asegura que lleva' la orden! ai Embaxador Conde; de Sfabremberg.de ausentarse' dé Ingla»térra si persiste aquel gabinete en no reconocer la dignidad Imperial hereditaria en la cása de Austr;a.,Dé unídia á ot</t>
  </si>
  <si>
    <t>Embaxador Francés</t>
  </si>
  <si>
    <t>S.M. I. que sea Caballero de la orden de Cincinnato. Aunque se ha dicho que el Embaxador Francés habia salido de Constantinopla , se asegura sin embargo, que mediante la intervención de cierta potencia del Norte, se compondrán amigablemente las desavenenci</t>
  </si>
  <si>
    <t>Embaxador Frunces</t>
  </si>
  <si>
    <t>niño el 10 del corriente. El Emperador hereditario de Austria habla ofrecid- al Embaxador Frunces ser padrino del recien nacido;pero como S.iM. se halla ausente, lo ha sido en su nombre el Príncipe de Starhemberg, Gran Maestre de la Corte. El Emperador pasa</t>
  </si>
  <si>
    <t>Embaxador Ingles</t>
  </si>
  <si>
    <t>e de Viena ha recibido aviso de la próxima llegada de Mr. Arbuthnoth, que va de Embaxador Ingles cerca de la Puerta Otomana. Se detendrá para exercer las funciones de Ministro Británico ínterin llega el sucesor de Mr. Paget,quien dentro de 1 &gt; dias partirá</t>
  </si>
  <si>
    <t>Embaxador Ingles Mr</t>
  </si>
  <si>
    <t>ó el Sund la fragata Inglesa Amatista, de 36 cañones, llevando á bordo el nuevo Embaxador Ingles Mr. Gower, que pasa á Petersburgo. El vecindario de Harnburgo ha consentido en el empréstito de 6co® marcos de banco, que han solicitado los Estados de Hannóver,</t>
  </si>
  <si>
    <t>Embaxador Ruso</t>
  </si>
  <si>
    <t>ran /Señor ha condecorado con la orden de ia Media Luna al* Príncipe/Italinsky, Embaxador Ruso cerca de la Puerta, y su. Soberana fe ha dado permiso para traer la insignia. . Algunas gazetas han anunciado que debía salir del mar Negro una quadra rusa, at</t>
  </si>
  <si>
    <t>ción del Ministro Prusiano, en el mismo negocio, en el que no se ha mezclado el Embaxador Ruso. Nuestros comerciantes esperan que ahora, á principios del invierno^ en cuyo tiempo es muy difícil la navegación del Báltico, y que de consiguiente cesará la c</t>
  </si>
  <si>
    <t>Stockoimo el Conde de Lodron, Ministro del Emperador. El Conde de Rasoumousky, Embaxador Ruso en Viena, pasará el invierno en Ñapóles. El Ministro Ingles en Viena ha tenido varias conferencias conMr. de Cobentzel ; pero como la Inglaterra no quiere recono</t>
  </si>
  <si>
    <t>Embaxador Scliimmelpennink</t>
  </si>
  <si>
    <t>es juntas que tienen sus individuos, y por los muchos correos que despacha á su Embaxador Scliimmelpennink, que se halla en Aquisgran. El precio de los granos, que había subido con motivo de haberse prohibido su salida á Francia y á los departamentos reunidos, ha ba</t>
  </si>
  <si>
    <t>Emigdio Andino</t>
  </si>
  <si>
    <t>ería de Cuba. Finalmente, ha nombrado S. M. Ayudante primero de la plaza de Puerto-Rico al Teniente D. Emigdio Andino , segundo Ayudante de la misma; y ha conferido esta resulta d D. Josef Guerra., Alférez del regimiento de Milictas disciplinada de la propia plaza. En consideración á la avanzada</t>
  </si>
  <si>
    <t>Emilio y Bielsa, Carlos</t>
  </si>
  <si>
    <t>Carlos Emilio y Bielsa</t>
  </si>
  <si>
    <t>rcos. Márquez y D. Josel Cervino; y Subtenencias de bandera en los de Zamora y Málaga á los Cadetes D. Cárlos Emilio y Bielsa y D. Antonio Ramón Tata. En el Regimiento de infantería Suizo de Wimpffen se ha servido promover el Rey á Subteniente al Cadete D. Edmundo Tugener: en el de Courten á Teniente de gran</t>
  </si>
  <si>
    <t>Emilio, Carlos</t>
  </si>
  <si>
    <t>Carlos Emilio</t>
  </si>
  <si>
    <t>e está plaza, fueron examinados los Cadetes del regimiento de infantería de Zamora D. Tomas Bielsa, D. Cárlos Emilio, D. Pedro Gómez, D. Manuel Tena, D.Ignacio Ventura y D, AntonioNicolau,de todas las obligaciones señaladas en la ordenanza; de las evoluciones y manejo del arma, de la aritmética,</t>
  </si>
  <si>
    <t>Empacan, Ignacio</t>
  </si>
  <si>
    <t>Ignacio Empacan</t>
  </si>
  <si>
    <t>re), y dignos de publicarse, que fuéron los académicos D. Rodrigo Tavira, D. Juan Bautista Ceraini, D. Ignacio Empacan, D.. Juan de Cevallos, D. Antonio Gilman,, Cadete de Reales Guardias Walonas, y D. Fernando Adaiúde Yárza-; al seminarista mayor Don Iñigo Ortes de Veíasco , su hermano , el gefe</t>
  </si>
  <si>
    <t>Emundo O-Ronan</t>
  </si>
  <si>
    <t>rvido conceder en el regimiento de infantería de Ultonia Compañía al Ayudante, graduado de Capitán, D. Emundo O-Ronan; y en el de Navarra Subtenencias de bandera á los Cadetes D. Nicolás Bowier y D. Manuel Guerrero. El Rey se ha servido promover á Capitán primero del regimiento de infantería suiz</t>
  </si>
  <si>
    <t>en xefe Augereau, General</t>
  </si>
  <si>
    <t>General en xefe Augereau</t>
  </si>
  <si>
    <t>iciembre. Todas las tropas que estaban asPen esta ciudad como en sus cercanías se van retirando. El General en xefe Augereau se despidió de ellas el miércoles pasado, y la plana mayor saldrá de aquí, según dicen, el jueves próximo. . . París de Diciembre. El Caballero de Hervas ha sido presentado el día</t>
  </si>
  <si>
    <t>en xefe Davoust, General</t>
  </si>
  <si>
    <t>General en xefe Davoust</t>
  </si>
  <si>
    <t>lón Imperial el que con mas freqüencia se ve en el Mediterráneo. FRANCIA. París 12 de Diciembre. El General en xefe Davoust dio orden al General Friant, comandante de la segunda división del campo de Brujas, para nombrar en su división una comisión militar encargada de exámínar el delito de espionage,</t>
  </si>
  <si>
    <t>Encabo, Juan Antonio</t>
  </si>
  <si>
    <t>Juan Antonio Encabo</t>
  </si>
  <si>
    <t>e ella; y para una Ración de la Catedral de Osma, vacante por iñuerte de D. Vicente de la Torre , á D. Juan Antonio Encabo, Racionero mas antiguo de la Colegial de S. Pedro de la ciudad de Soria , y Cura Párroco de ella. r ;;S. M. se ha servido nombrar para la Canongía que en la Iglesia de Salamanca h</t>
  </si>
  <si>
    <t>Encinas Lago, Pedro</t>
  </si>
  <si>
    <t>Pedro Encinas Lago</t>
  </si>
  <si>
    <t>edo á D. Josef JBielsa, y Guarda-Almacén extraordinario de Artillería de la ciudadela de Pamplona á D. Pedro Encinas Lago, Ayudante de Contralor reformado. El Rey ha conferido el empleo de Sargento mayor del regimiento provincial de Ciudad-Rodrigo al Teniente Coronel D. Manuel Gómez de la Serna, Capi</t>
  </si>
  <si>
    <t>Enciso, Francisco</t>
  </si>
  <si>
    <t>Francisco Enciso</t>
  </si>
  <si>
    <t>o de Arjonciilo, en el obispado de Jaén, vacante por fallecimiento de D. Manuel Blasco de Orozco, á D. Francisco Enciso , con dimisión de la Ración de la metropolitana de Granada , para la qual fue nombrado por Real decreto de 24 de Abril del ano próximo pasado: para el Beneficio simple servidero d</t>
  </si>
  <si>
    <t>a servido nombrar para una Ración de la iglesia metropolitana de Granada , vacante por promoción de D. Francisco Enciso á un Beneficio simple servidero de la villa de Arjoncilla, en el obispado de Jaén, á D. Josef Félix de la Rosa, Capellán segundo, y Teniente de Cura del Soto de Roma: para otra de</t>
  </si>
  <si>
    <t>Engeiber</t>
  </si>
  <si>
    <t>izar al orden de Malta, se fixará la quota anual de los réditos que aquellas abadías deberán pagar. Mr Engeiber, Síndico de ios estados provinciales del Brisgawirá muy en breve á Berua , á fin de continuar las negociaciones-con la Suiza.. Parece que el Archiduque Fernando, Soberano de. Bris</t>
  </si>
  <si>
    <t>Enna, Manuel</t>
  </si>
  <si>
    <t>Manuel Enna</t>
  </si>
  <si>
    <t>.Manuel Arévalo , D. Josef Caballero, D. Gaspar Orue , D.njltyfknuel Josel de Landa, D. Pedro Olea, D. Manuel Enna , D. Alonso Illlaipa, D. Josef León, D. Ildefonso Fonseca , D. Domingo Cándano, D. Jjjnsjw (Castañeda, D. Francisco Barceló, D. Juan Varona, D. Josef IVÍo ota lleda , D. Joaquín C</t>
  </si>
  <si>
    <t>Enrile, Francisco</t>
  </si>
  <si>
    <t>Francisco Enrile</t>
  </si>
  <si>
    <t>. Bernardo Meruendano, D. Josef del Hoyo,D. Francisco de Murías, D. Mariano Leones, D. Josef Nuñez, D. Francisco Enrile, D. Juan Gaideano, D. Josef Burgués de Mesiessi, D. Manuel Lizarza, D. Josef Aznar y ¿.Francisco Simón Perez de Grandallana. A Alféreces de Navio los de Fragata' D. Juan Patricio</t>
  </si>
  <si>
    <t>Eran</t>
  </si>
  <si>
    <t>al en el espacio de mes y medio mas de 70 enfermos de ja tripulación del correo de S. M. el Infante D. Eran</t>
  </si>
  <si>
    <t>Erancisco Guelvenzu</t>
  </si>
  <si>
    <t>de cazadores al de fusileros D. Diego Basilio de la Chica ; á Teniente de fusileros ai Subteniente D. Erancisco Guelvenzu; á Subtenientes á los Cadetes D. Tomas Sarasa y D. Juan Sangran, y á Ayudante, con grado de Subteniente, al Sargento primero distinguido D. Josef García. Carta escrita desde Valla</t>
  </si>
  <si>
    <t>Erancisco Xavier de Balmis</t>
  </si>
  <si>
    <t>l zelo ilustrado de nuestro Comandante general Marques de Casa-Cagigal, y la actividad del Director Don Erancisco Xavier de Balmis suplieron la falta de disposiciones previas, y á pesar de la obscuridad de la noche y de la gruesa mar, fuéron inoculados de brazo á brazo una hora después diez párvulos de las fa</t>
  </si>
  <si>
    <t>Erjiouf, General</t>
  </si>
  <si>
    <t>General Erjiouf</t>
  </si>
  <si>
    <t>ey , nuestro M¡nIstr&lt;&gt; en Madrid. El día. 2.8 tde Octubre se publicó en la Guadalupe un decreto del General Erjiouf, por. el qual se manda, baxo la pena de 5$ pesetas de multa, á todos los capitanes de buques extrangeros que arriben á la Guadalupe, que consignen sus cargamentos á una casa de co</t>
  </si>
  <si>
    <t>Ermel</t>
  </si>
  <si>
    <t>ei panorama de la ciudad de Nápoles. Escriben ae Gand, que el Ministro de lo Interior ha regalado á Mr. Ermel, constructor de instrumentos de música en esta ciudad, una suma de 600 pesetas, por via de recompensa por ios buenos efectos que ha conseguido hasta ahora, habiéndose propuesto ll</t>
  </si>
  <si>
    <t>Escalante, Juan Antonio</t>
  </si>
  <si>
    <t>Juan Antonio Escalante</t>
  </si>
  <si>
    <t>guel Antonio de Toledo y Estrada , D. Rafael de Molina, D. Josef Oliver, D. Tomas Cantero y Acosta, D. Juan Antonio Escalante, y D. Josef Antonio Quirds..,</t>
  </si>
  <si>
    <t>Escanden y Noriega, Juan Francisco</t>
  </si>
  <si>
    <t>Juan Francisco Escanden y Noriega</t>
  </si>
  <si>
    <t>de Santa María de Anayo, en la Diócesi de Oviedo, por fallecimiento de D. Diego Noriega de Bada, á D. Juan Francisco Escanden y Noriega, Cura de Santa María de Mían, en la misma Diócesi, con la obligación de mantener un Sacerdote Confesor de fixa residencia en aquella Parroquia , que diga la Misa de alba en los di</t>
  </si>
  <si>
    <t>Escandon, Joaquín</t>
  </si>
  <si>
    <t>Joaquín Escandon</t>
  </si>
  <si>
    <t>Teniente de la Compañía fixa de Mallorca ; y á Teniente de esta Compañía al Subteniente de la misma D. Joaquin Escandon. En los Regimientos Provinciales ha promovido el Rey á Capitán de granaderos del de Soria al de fusileros el Teniente Coronel de infantería D. Anselmo Plaza: á Capitanes de fusile</t>
  </si>
  <si>
    <t>Escapa y Leal, Gaspar</t>
  </si>
  <si>
    <t>Gaspar Escapa y Leal</t>
  </si>
  <si>
    <t>Subtenientes de granaderos de los de Ciudad-Rodrigo, Laredo, Avila y Chinchilla á los de fusileros D. Gaspar Escapa y Leal, D. Josef Falla y la Fuente, D. Mariano Zorraquin y D. Esteban Marbeuf; y á Subtenientes de bandera de los de Avila y Chinchilla á D. Miguel de Becerril y D. Miguel Gallego de Gal</t>
  </si>
  <si>
    <t>Escario y Carrasco, Joaquín</t>
  </si>
  <si>
    <t>Joaquín Escario y Carrasco</t>
  </si>
  <si>
    <t>o y Reguera, D. Francisco Mena y Ferran, D. Luis *Lardizabal y Montoya, D. Josef Medrano y Treviño, D. Joaquin Escario y Carrasco, D. Joaquin Vivanco y Yun , D. Pedro Ortiz de Zarate y Ara , D. Juan Bravo de Rivero, D. Josef González de Merino, D. Bernardo Gil de Ledesma y Seix , D. Josef Santiago Arias de S</t>
  </si>
  <si>
    <t>Escarré, Francisco</t>
  </si>
  <si>
    <t>Francisco Escarré</t>
  </si>
  <si>
    <t>undo Ayudante mayor á D. Pablo Salas, Teniente déla propia Compañía: para el empleo que este dexa á D. Francisco Escarré, Subteniente de la misma; y para Subteniente? á los Sargentos IX.Franc isco Romagosa, del primer regimiento, y D., IVÍariano Lumeras del segundo; habiéndose también dignado el Rey</t>
  </si>
  <si>
    <t>Escher</t>
  </si>
  <si>
    <t>ces, fra;mayor parte vienen desnudos, y sin tener pan. Los pobrecitos estaban fiados en .que un tal Mr. Escher, los conduciría de aquí hasta la Crimea; pero' como nuestro gobierno no ha contado con la llegada de este personage, ha mandado ayer que se vuélvan todos estos desdichados á su pa</t>
  </si>
  <si>
    <t>Escofet, Francisco</t>
  </si>
  <si>
    <t>Francisco Escofet</t>
  </si>
  <si>
    <t>S. M. nombrar en el regimiento de caballería de Algarbe, noveno de línea, Portaestandarte al Cadete D. Francisco Escofet. Para el Gobierno militar y político de la plaza de Almería ha nom-; brado el Rey al Coronel Marques D’Aigremont, segundo Ayudante ma^ yor del regimiento de Guardias de infantería</t>
  </si>
  <si>
    <t>Escoribucla, Miguel</t>
  </si>
  <si>
    <t>Miguel Escoribucla</t>
  </si>
  <si>
    <t>141..25 Miguel Escoribucla............. / Aldegiiela........................ 129.-30 Xavier de Mena.................. . Fuente del Espino........ 141-25 Francisco Perez.......</t>
  </si>
  <si>
    <t>Escovar y Salcedo, Antonio</t>
  </si>
  <si>
    <t>Antonio Escovar y Salcedo</t>
  </si>
  <si>
    <t>ados , acompañados de una relación de los méritos que les asistan. Se solicita saber el paradero de D. Antonio Escovar y Salcedo, natural de Osuna, que pasó á Madrid desde Málaga por los años de 1796 y siguientes, para comunicarle asuntos de importancia; este interesado acudirá por sí ó por apoderado en Mad</t>
  </si>
  <si>
    <t>Escuden</t>
  </si>
  <si>
    <t>gación dé $. Mauro; un tomo en 8.® á 11 rs. en pasta. = Las mügéres ilustres,.ó arengas héroyeas de Mr. Escuden: t tomos en 8.° á ¿o rs. en pasta. = Arte de manejarse en la corte, que contiene lo* elementos de la política para adelantar en el trato y personales intereses, que dependen de la</t>
  </si>
  <si>
    <t>Escudery</t>
  </si>
  <si>
    <t>das de la sagrada Escritura, por un Presbítero secular.=Las mugeres ilustres, ó arengas heroycas de Mr. Escudery, traducidas del francés; 2 tomos en 8.° Se hallarán en la librería de Dávila, calle de las Carretas. Escuela de á caballo, por el Sr. Francisco Robichon de la Geriniere, Caballé*</t>
  </si>
  <si>
    <t>Escuelas Pías</t>
  </si>
  <si>
    <t>mo y hacia sus semejantes: escrita en italiano por el P. Gaspar Morardo, de las Escuelas Pías , autor del Arte de vivir sano y largamente; y traducida al castellano por el P.. Ildefonso Milla de S. Joaquín , de las Escuelas Pías de Castilla. Esta obra , que es una filosofía moral</t>
  </si>
  <si>
    <t>España y Chico, Rafael</t>
  </si>
  <si>
    <t>Rafael España y Chico</t>
  </si>
  <si>
    <t>idos y á D. Rodrigo Flores Picón: en ei de Málaga á D. Manuel Moreno, D. Pascual Ai varez Campana y D. Rafael España y Chico: en el de Jaén á D. Carlos Marrugat: en el de Ordenes Militares á D. Joaquín González de Quevedo: en el de Voluntarios de Castilla á D. Manuel Agulló y D. Ramón Ximenez: en el de</t>
  </si>
  <si>
    <t>Esparta, Agustín</t>
  </si>
  <si>
    <t>Agustín Esparta</t>
  </si>
  <si>
    <t>Coronel del Regimiento de infantería de Guadalaxara; y para la Tenencia de Rey de la misma plaza á D. Agustín Esparta ^Teniente Coronel del Real cuerpo de Ingenieros. En América. En el esquadron de Milicias de caballería de Caracas se ha servido el Rey conceder el empleo de Teniente al Alférez de</t>
  </si>
  <si>
    <t>Espatolero, Manuel</t>
  </si>
  <si>
    <t>Manuel Espatolero</t>
  </si>
  <si>
    <t>luntarios de Valencia á los Subtenientes de los mismos cuerpos D. Francisco Davan, d,e granaderos , D. Manuel Espatolero,D. Carlos Sevilla, de granaderos, y D. Benito del Moral: Tenencia de granaderos en el regimiento Suizo , vacante de Yarm, ai de fusileros, D. Melchor Risy ; y Subtenencia en el am</t>
  </si>
  <si>
    <t>Espejo, Antonio</t>
  </si>
  <si>
    <t>Antonio Espejo</t>
  </si>
  <si>
    <t>Teniente ai Subteniente de granaderos D. Juan Solis, y á Subteniente de granaderos al de fusileros D. Antonio Espejo. Asimismo S, M. se ha servido conferir el empleo de Teniente Coronel del Regimiento de Dragones Provinciales de Mechoacan, en Nueva-España, á D, Félix Gutierre? de la Lanza, Capit</t>
  </si>
  <si>
    <t>Espejo, Francisco</t>
  </si>
  <si>
    <t>Francisco Espejo</t>
  </si>
  <si>
    <t>sesor del Gobierno de Popayan. También ha concedido S. M. honores de su Real Audiencia de Caracas á D. Francisco Espejo, Abogado de ella. El Gobernador de Cartagena de Indias D. Anastasio Cejudo, ha dado cuenta á S. M. por ei Ministerio de Hacienda de haber descubierto por repetidas observaciones,</t>
  </si>
  <si>
    <t>Espiera, Francisco</t>
  </si>
  <si>
    <t>Francisco Espiera</t>
  </si>
  <si>
    <t>recreo, sita en el lugar de Carabanchel de arriba. Quien quisiere verla y tratar de ajuste, aeudaá D. Francisco Espiera, calle de las Carretas, casa de Barranco, quarto 3.0- 1 La plaza de Médico del hospital'de la Pasión de Ciudad-Rodrigo, dotada en 500 ducados y casa, se halla vacante, y ha de hac</t>
  </si>
  <si>
    <t>Espinosa, Carlos</t>
  </si>
  <si>
    <t>Carlos Espinosa</t>
  </si>
  <si>
    <t>En ei Real Cuerpo de Artillería se ha servido el R ey ascender á Capitanes primeros á los segundos D. Carlos Espinosa, D. Manuel del Rio, D. Mariano Osorio y D. Vicente Novella: habiendo también promovido S. M. á Comisario de Guerra del exército y del departamento de Artillería de Cartagena á D.</t>
  </si>
  <si>
    <t>Espinosa, Manuel María</t>
  </si>
  <si>
    <t>Manuel María Espinosa</t>
  </si>
  <si>
    <t>ugar de Rlgíos, en esta diócesis: para otra dé la catedral de Albarracin , vacante por promoción de D. Manuel María Espinosa d otra de la de Cartagena , á D. Francisco Alpuente , Cura párroco dé la Mina del Collado de la Plata: para una Ración de la catedral de Canaria, vacante por promoción de D. Juan</t>
  </si>
  <si>
    <t>Espjna, Bernardo</t>
  </si>
  <si>
    <t>Bernardo Espjna</t>
  </si>
  <si>
    <t>de muestra península, que igualmente lo demuestra, y dé yus principales ciudades y villas: su autor D. Bernardo Espjna.it-,y García, Comisario ordenador/honorario, y Administrador principal -jubilado de eorreos.de - Valencia y su Reyno. Véndese en el despacho de la imprenta Real: su precio 12 rs.</t>
  </si>
  <si>
    <t>Esqúivel y Castañeda, Manuel</t>
  </si>
  <si>
    <t>Manuel Esqúivel y Castañeda</t>
  </si>
  <si>
    <t>ez Roxo , D.Joseph Navarro y Montemayor, D. Manuel: Meñendez Vaides, D. Francisco Quiroga y Osores, D. Manuel Esqúivel y Castañeda , D. Diego Varo Franco, Don Pedro de la Barreda, D. Ignacio Reguera, D. Josef Zorrilla y Ortiz, Don Ignacio Olaeta y Calafát, D. Antonio Martínez y Tacón , D. Rafael Casa so la y</t>
  </si>
  <si>
    <t>Est</t>
  </si>
  <si>
    <t>es de Reales Guardias Españolas y Walon^s J)_ Carlos Ravenet, D. Juan Bautista D’ Urtubie de Garro, D. Est^anCésar de Voinsins, D. Josef Benito Portell y D. Pedro Pascual ajares y Cañamas; y en el batallón de Tarragona á D. Francisco de Paula ■ Gordilio , Sargento segundo distinguido d</t>
  </si>
  <si>
    <t>Estala, Pedro</t>
  </si>
  <si>
    <t>Pedro Estala</t>
  </si>
  <si>
    <t>BufFon, clasificado según eí sistema de Linneo por Renato Ricardo Castel, traducido é ilustrado por D. Pedro Estala, presbítero *. tomo xrr, que contiene la historia del almizcleso , chíbalo , girafa, ciervo, gamo, corzo, alce, reno, gacelas, gamuza, búbalo, ñu , cabrón , cabra montes y demas e</t>
  </si>
  <si>
    <t>ufFon, clasificado según el sistema de Linneo, por Renato Ricardo Gaste!, traducido é ilustrado por D. Pedro Estala, presbítero: tomo xnr, y penúltimo de los quadrúpedos, que contiene la historia de la oveja, mismon y demas animales de este género; del toro, uro, bisonte, cebú, búfalo y vaca de</t>
  </si>
  <si>
    <t>uffbti, clasificado segun el sistema de Xinneo por Renato Ricardo Castel, traducido é ilustrado por D. Pedro Estala presbítero: tomo xiv y último de los cuadrúpedos, que contiene la historia de ios caballos cimarrones de América, del asno , del mulo, de la cebra, del kuaga, del hipopótamo, del</t>
  </si>
  <si>
    <t>fFon, clasificado, según el sistema de Linneo, por Renato Ricardo Castel, traducido é ilustrado por D. Pedro Estala, Presbítero: tomo i.° de las aves, y 15 de este Compendio, que contiene un prólogo sobre el plan de esta parte de la historia natural, un discurso preliminar sobre la naturaleza d</t>
  </si>
  <si>
    <t>Estalg, Pedro</t>
  </si>
  <si>
    <t>Pedro Estalg</t>
  </si>
  <si>
    <t>uffon, clasificado según el sistema de Linneo por Renato Ricardo Castel, traducido, é ilustrado por D. Pedro Estalg, presbítero: tomo xi, que contiene la historia de los ratones, con una adición cq! piosa sobre los animales de este género de la América meridional ; la de las marj motas, ardilla</t>
  </si>
  <si>
    <t>Estanislao de Rocavarreno</t>
  </si>
  <si>
    <t>antiago de Chile, vacante por ascenso de D. Antonio Martinez de Aldunate al obispado de Guamanga, á D. Estanislao de Rocavarreno; el Arcedianato qtie dexa al Chantre D. Rafael García Huidobro; la Chantría ¿i Maestrescuela D. Pedro Antonio de Roxas; esta dignidad al Tesorero D. Josef Antonio de Errazurriz; y</t>
  </si>
  <si>
    <t>Estanislao de Werra</t>
  </si>
  <si>
    <t>gimiento de Courten al Capitán de granaderos D. Eugenio de Courten; esta resulta al Capitán segundo D. Estanislao de Werra; y Tenencias á D. Juan Pedro Sattler y D. Josef JBrayer, Subtenientes de granaderos del mismo: en el de WimpíFen Tenencia á D. Josef Chichery, Subteniente de granaderos: en el de</t>
  </si>
  <si>
    <t>Estanislao Fita</t>
  </si>
  <si>
    <t>cia; de cuya merced se le ha expedido la Real cédula correspondiente. S. M. se ha dignado nombrar á D. Estanislao Fita para que regéntela</t>
  </si>
  <si>
    <t>Estanislao Gau</t>
  </si>
  <si>
    <t>. M., con presencia de sus resultas, promover á. Subtenientes en el regimiento inmemorial del Rey á D. Estanislao Gau; tiér y D. Patricio de S. Pedro: en el de la Reyna á D. Josef Fernandez: en el del Príncipe i D. Jnan Bastida y D. Juan Sedaño: en el de Saboya á D, Bruno Barrera : en el de Afric</t>
  </si>
  <si>
    <t>Estch, Tomás</t>
  </si>
  <si>
    <t>Tomás Estch</t>
  </si>
  <si>
    <t>ileros D. Vicente Fernandez Texeyro; á Tenientes los Subtenientes de granaderos D. Josef de Hevia , D. Tomas Estch^ y J&gt; Pedro Devcrges, y los de fusileros D. Francisco Garic, graduado , de Teniente, D. Francisco Martínez y D. Josef Alpanseque ; á Subsidíenles de granaderos á los de fusileros</t>
  </si>
  <si>
    <t>Esteller, Felipe</t>
  </si>
  <si>
    <t>Felipe Esteller</t>
  </si>
  <si>
    <t>D. Josef Pereyra, D. Santiago Mazarredo, D. Josef Mazarredo, D. Juan de’Vera, D. Pedro de Salazar, D. Felipe Esteller,, D. Josef del Viso, D. Jacinto Marcaida, D. Juan Bautista Lanz y Don; Francisco Ponce de León. Digesto teórico-práctico, ó Recopilación de los derechos Común, Real y Canónico, po</t>
  </si>
  <si>
    <t>Estepar, Santiago</t>
  </si>
  <si>
    <t>Santiago Estepar</t>
  </si>
  <si>
    <t>sita en la Cava baxa, núm. 9, manzana 149. Quien quiera tratar de ajuste, acuda á la escribanía de D. Santiago Estepar, que se halla en la Villa. Ha vacado la escuela de primeras letras de la villa del Fresno, cerca de Medina del Campo7 dotada con 25 fanegas de trigo bueno al año, 4 rs. diarios, 1</t>
  </si>
  <si>
    <t>Esterripa, Francisco</t>
  </si>
  <si>
    <t>Francisco Esterripa</t>
  </si>
  <si>
    <t>Mahiiel María del Valle, Alcalde del crimen mas^ahtiguo de la misma Audiencia: jpara*esta'resulta á D. Francisco Esterripa, Oidor de la de Sta. Fd, y para la que-este dexa á D. Andrés Portocarrero, Abogado de la Audiencia de Lima. En 4 de Enero último salid del puerto de 'Montevideo la corbeta, correo</t>
  </si>
  <si>
    <t>Estevez, Tomás</t>
  </si>
  <si>
    <t>Tomás Estevez</t>
  </si>
  <si>
    <t>........... .*4*"25 Tomas Estevez........... ........ Campillo de laXara....... 141-25 Josef Leal............... Breña.......... .................... ,4I"25 Gil Izquierdo.</t>
  </si>
  <si>
    <t>Estor, Juan</t>
  </si>
  <si>
    <t>Juan Estor</t>
  </si>
  <si>
    <t>En el regimiento de infantería .de NuevarEspaña se ha servido el Rey promover á Capitán ?1 Ayudante D. Juan Estor ¿ á Ayudante al Teniente D. Antonio Soto ; á Teniente ai Subteniente de granaderos D. Juan Solis, y á Subteniente de granaderos al de fusileros D. Antonio Espejo. Asimismo S, M. s</t>
  </si>
  <si>
    <t>Estrada, Antonio</t>
  </si>
  <si>
    <t>Antonio Estrada</t>
  </si>
  <si>
    <t>1 vido promover á Teniente en el regimiento de infantería del Príncipe al Subteniente de granaderos D. Antonio Estrada ; y ¿ Subteniente de bandera en el de Burgos al Cadete D. Manuel Perez Martínez. En los regimientos de infantería Suizos ha nombrado el Rey Subtenientes: en el de Schwaller al Cad</t>
  </si>
  <si>
    <t>Estrada, Manuel</t>
  </si>
  <si>
    <t>Manuel Estrada</t>
  </si>
  <si>
    <t>Parodi, D. Fernando Antonio Cambre y D. Josef López Portillo; á Subteniente de granaderos ál Cadete D. Manuel Estrada; á Subtenientes dé fusileros á los Cadetes D. Josef Félix Pedraja, D. Antonio Ladrón dé Guevara, D. Josef de la Peña y D. Josef Estrada, y á Subtenientes de bandera á D. Francisco</t>
  </si>
  <si>
    <t>Eü, Príncipe</t>
  </si>
  <si>
    <t>Príncipe Eü</t>
  </si>
  <si>
    <t>permite Continuar' su servicio! Se halló en la campaña de Philippsbúrgo en £ 734 á las órdenes del; Príncipe Eü— genio, delante de cuya tienda se acuerda haber éstad-o dé cantinela. Este anciano tiene 72 años de servicio. S. MV le ha recibido con muchá bondad. ; f •' • Como los alborotos se</t>
  </si>
  <si>
    <t>Eüfrasio Díaz de Perea</t>
  </si>
  <si>
    <t>: para la Prestamera de Enciqasola, en el arzobispado de Sevilla ,, yacante por. fallecimiento:de ,D. Eüfrasio Díaz de Perea, á D. Casimiro Sánchez Hortln: para un Beneficio de la parroquial de Sta. María de Carmona, en el mismo arzobispado, por piuerte de Don Ventura Andueza, á D. Frañcisco de Reyna, T</t>
  </si>
  <si>
    <t>Eugenio</t>
  </si>
  <si>
    <t>a de Otero, y no tuvo sucesión; y últimamente declaró por sus universales herederos á D. Cristóbal, D. Eugenio, D. Juan, Doña Rosa María y Doña Francisca Eustaquia Suarez, sus hermanos. Librado el correspondiente Real despacho á ii Justicia del Puerto de Sta. María, de donde fué natural el</t>
  </si>
  <si>
    <t>Eugenio de Courten</t>
  </si>
  <si>
    <t>mayor del mismo : el empleo de Capitán primero en el regimiento de Courten al Capitán de granaderos D. Eugenio de Courten; esta resulta al Capitán segundo D. Estanislao de Werra; y Tenencias á D. Juan Pedro Sattler y D. Josef JBrayer, Subtenientes de granaderos del mismo: en el de WimpíFen Tenencia á</t>
  </si>
  <si>
    <t>Eugenio de la Ruga</t>
  </si>
  <si>
    <t>Reales decretos, órdenes, cédulas, aranceles y ordenanzas expedidas para su gobierno y fomento, por D. Eugenio de la Ruga, tomos 41,42,43,4^ y 45 : el 41 contiene la situación, clima, extensión, población y minas de oro, plata, cobre y estaño del reyno de Galicia: el 42 producciones minerales, vegeta</t>
  </si>
  <si>
    <t>Eugenio de Moradillo, Francisco</t>
  </si>
  <si>
    <t>Francisco Eugenio de Moradillo</t>
  </si>
  <si>
    <t>xó que falleció Doña María Ana Diez y Serrano, natural de la villa de Cervera de Aguilar , viuda de D. Francisco Eugenio de Moradillo, é hija de D. Bernardo Diez Escudero y Doña Bernarda Serrano Li</t>
  </si>
  <si>
    <t>Eugenio del Barrio</t>
  </si>
  <si>
    <t>, en el Rosellon de Francia 207 10 XOS QUE PAN PASADO A OTROS DESTINOS. Nombres. Destinos. Rs. Mrs. D. Eugenio del Barrio. A las compañías de Inválidos de Madrid. *3 Ti Manuel Martinez......... Idem.....................................,......................... *7 22 Ignacio Beliso............... Ide</t>
  </si>
  <si>
    <t>Eugenio González</t>
  </si>
  <si>
    <t>14!..25 Eugenio González............... Robledo.......................... 141.. 2 5 Andrés Martinez................ Cerindote................... .... 141-25 Nicolás Gómez........ .......</t>
  </si>
  <si>
    <t>Eugenio Izquierdo</t>
  </si>
  <si>
    <t>to de infantería de Voluntarios de Estado; el Caballero Goyeneche , Capitán en el mismo Regimiento; D. Eugenio Izquierdo, del Consejo de S. M. en el Supremo de Guerra; el Caballero H’ervás, del Consejo de Hacienda; D. Josef IFervás, agregado á la Embaxada de España; el Marques de Montehermoso; el Ma</t>
  </si>
  <si>
    <t>Eulogio Argiielles</t>
  </si>
  <si>
    <t>a : para el Beneficio Préstamo del lugar de Pozanco, en la diócesis de Avila, vacante por muerte de D. Eulogio Argiielles, á D. Pedro Sánchez LarioS de Godoy; y para el de Sotalbo, en la propia diócesis, vacante por fallecimiento de D.. Josef Ramii'^z, á D. Rafael Fundidor y Flores. El Rey se ha serv</t>
  </si>
  <si>
    <t>Eusebio del Olmo</t>
  </si>
  <si>
    <t>de Castilla, como Juez Asesor de la propia Real caballeriza, y escribanía de la misma del cargo de D. Eusebio del Olmo, en donde se halla radicado el juicio del referido abintestato; con apercibimiento que si pasado dicho término (que por único y perentoria se concede) no. hubiesen comparecido, le</t>
  </si>
  <si>
    <t>Fabre</t>
  </si>
  <si>
    <t>, FRANCIA. París j de Jimio. El Monitor trae el decreto en que se nombra Presidente del Tribunado á Mr. Fabre, y Qiiestores del mismo cuerpo á Mrs* Sahuc y Jard— Panvillier.. Dióse cuenta de él en el Tribunado, y Mr. Fabre hizo un discurso en que manifestó su agradecimiento á sus colegas,</t>
  </si>
  <si>
    <t>Fabricius</t>
  </si>
  <si>
    <t>mente, el referido matrimonio, fundándose en los principios establecidos por el Concilio de Trento. Mr. Fabricius ha apelado de esta decisión, tanto á la Corte de Badén, como á la vicaría arzobispal de Aschaffemburgo; y ambas autoridades han anulado la decisión de la vicaría episcopal de Spir</t>
  </si>
  <si>
    <t>Facundo de Porras Huidobro</t>
  </si>
  <si>
    <t>or de instrumentos antiguos, y lector de letras antiguas en esta corte y demas pueblos del rey no á Don Facundo de Porras Huidobro, vecino de la ciudad de Burgos, y oficial del archivo de aquella catedral, dándole todas las facultades anexas á ello, el qual tendrá su residencia en dicha ciudad. En América. El</t>
  </si>
  <si>
    <t>Faes de Miranda, Matías</t>
  </si>
  <si>
    <t>Matías Faes de Miranda</t>
  </si>
  <si>
    <t>smo ha nombrado el Rey para una plaza de Oidor de la Audiencia de Manila, en las islas Filipinas, á D. Matías Faes de Miranda: para el empleo de Teniente Gobernador, Asesor del Gobierno é Intendencia del Cuzco, vacante por promoción de D. Manuel Josef de Reyes á plaza de Oidor de Buenos-Ay res , á D. Ped</t>
  </si>
  <si>
    <t>Fafiian</t>
  </si>
  <si>
    <t>orreo del r/ de Setiembre último remitieron lo$ Sres. Varanda é hijo, del comercio de esta Corte, á D. Fafiian de.Cortaaar, vecino de Balmaseda, con endoso á su favor, un vale Real de 150 pesos, núm, 202,505, y otro de 300 pe-? sos, núnv. 44,816, ámhos de la creación de i.° de Setiembrej,y po</t>
  </si>
  <si>
    <t>Fagar</t>
  </si>
  <si>
    <t>ienes baxo palabra de honor. Entre estos prisioneros hay personages de mucha distinción, tales como Mr. Fagar; el Lord Yarmouth; Nicolás el padre, de la Cámara de los Comunes y del partido de la oposición; D’UfF, Coronel, amigo de) Príncipe de Gales; ei Conmodoro Gerald Bringthonn, Capitá</t>
  </si>
  <si>
    <t>Falcon</t>
  </si>
  <si>
    <t>stosamente las diferencias que existen entre ambas Potencias desde la retirada del Cónsul Británico Mr. Falcon. El Rey y la familia Real saliéron el 24 de Windsor para Weymouth. S. M. se detuvo en Hihñeld, casa de campo del General Sir William Pitt, y llegará el 25 á Weymouth. HOLANDA. Hay</t>
  </si>
  <si>
    <t>Fariñas, Manuel</t>
  </si>
  <si>
    <t>Manuel Fariñas</t>
  </si>
  <si>
    <t>ocas; y por Subtenientes de las mismas á los Sargentos del tercer regimiento D. Francisco Bedoya y -D. Manuel Fariñas. Igualmente ha conferido el Rey Compañía en el regimiento de caballería de Almansa, tercero de cazadores, al Capitán D. Josef María Roxas, Ayudante del propio cuerpo; y Tenencia e</t>
  </si>
  <si>
    <t>Faustino Arévalo</t>
  </si>
  <si>
    <t>. Cardenal D. Francisco Antonio de Lorenzana , Censor honorario, y bienhechor de la misma. El Abate D. Faustino Arévalo, Académico y Censor en exercicio, recitó un elogio fúnebre latino, en que reunió las principales épocas y mudanzas de la vida de este purpurado, ensalzando al mismo tiempo su cará</t>
  </si>
  <si>
    <t>Faustino Brunet, Pedro</t>
  </si>
  <si>
    <t>Pedro Faustino Brunet</t>
  </si>
  <si>
    <t>atedral de Yucatán, vacante por fallecimiento de D. Agustín Carrillo Pimentel, al Arcediano de ella D. Pedro Faustino Brunet; para el Arcedianato al Chantre D. Josef Joaquín Chacón; esta Dignidad al Maestrescuela D. Manuel de Salazar; y esta resulta 2I Canónigo Penitenciario D. Santiago Martinez de Pera</t>
  </si>
  <si>
    <t>Fausto Manuel de Ezquerra</t>
  </si>
  <si>
    <t>63 rs. 17 mrs. Quien quisiere hacer postura acudirá ante dicho Sr. Subdelegado por la escribanía de D. Fausto Manuel de Ezquerra. Por providencias del Sr. D. Manuel de Torres , del Consejo de' 'S. M., primer Teniente Corregidor de esta villa, y por la escribanía dél ñúmero de D.'Diego Benigno González, se h</t>
  </si>
  <si>
    <t>Fausto Manuel de Ezqueya</t>
  </si>
  <si>
    <t>do de Rentas D. Tomas Saez de Parayuelo. Qaiepfquisiete hacer anejora&gt; acudirá por la escribanía de D. Fausto Manuel de Ezqueya.. u -y ' . .T .' El Sr. Intendente de esta provincia,por su decreto de 2 del corriente, ha aprobado el r,é mate, celebrado por-el Sr. Alcalde D. Joaquín Herran en 24 de May» próxi</t>
  </si>
  <si>
    <t>Fausto Sodupe</t>
  </si>
  <si>
    <t>ón de la catedral de Cuenca, en el Perú , vacante por promoción de D. Aíanuel Guerrero y Sánchez, á D. Fausto Sodupe , presbítero domiciliario del arzobispado^ de .Santa £e. En el regimiento de infantería de la Corona fixo del. Reyno de Nueva-España, se ha servido S. M. promover á Sargento mayor</t>
  </si>
  <si>
    <t>Fe, Luis</t>
  </si>
  <si>
    <t>Luis Fe</t>
  </si>
  <si>
    <t>Martínez y D. Josef Alpanseque ; á Subsidíenles de granaderos á los de fusileros D. Josef Declonet, D. Luis Fe^ne j, graduado de Teniente , y D. Diego Salazar ; á Subtenientes de (j^in pañía los de bandera E&gt;. Juan Galguera, D. Bernardo Prieto, D. Cirilo Lessasier, D. Juan Treviño y D. Lui</t>
  </si>
  <si>
    <t>Federal Ziegler, Coronel</t>
  </si>
  <si>
    <t>Coronel Federal Ziegler</t>
  </si>
  <si>
    <t>compañías de todas armas, y dos batallones del contingente federal, se reuniéron á las órdenes del Coronel Federal Ziegler.. Un tai-Dinoir.d*Arras , casado, y padre de familias, hasido condenado por un tribunal de apelación á estar expuesto á la argolla durante una hora , y á destierro de 20 años del</t>
  </si>
  <si>
    <t>Federico Behr</t>
  </si>
  <si>
    <t>el de Bettschart al Cadete D. Francisco Ceeberg: en el de Traxler al Sargento primero de granaderos D. Federico Behr y al Cadete D. Carlos Muller; y en el de Courten al Cadete D. Luis Robatel. En atención ai mérito y distinguidas circunstancias del Capitán de dragones agregado al Estado mayor de l</t>
  </si>
  <si>
    <t>Federico de Dinamar, Príncipe</t>
  </si>
  <si>
    <t>Príncipe Federico de Dinamar</t>
  </si>
  <si>
    <t>ipe heredero de Dinamarca, con quien debe casarse----- Se asegura que nuestra Corte ha convidado al Príncipe Federico de Dinamar-' ca, á sus dos hijos y á las dos Princesas á que vengan á Postdam durante el tiempo de las revistas de otoño. También ha convidado á los Dú-¿ ques de Mecklenbourg-Schwerin. EL Prín</t>
  </si>
  <si>
    <t>Federico Everardo de Plohenlohe, Príncipe</t>
  </si>
  <si>
    <t>Príncipe Federico Everardo de Plohenlohe</t>
  </si>
  <si>
    <t>l y Wirtemberg) por el segundo; y dos (el Archi Canciller y BrunswiclóLuneburgo) por el tercero. El Príncipe Federico Everardo de Plohenlohe, hermano del Príncipe reynante, y la Princesa su esposa, murieron en Kirchberg el 21 del mes pasado á una misnia hora, después de Una corta enfermedad: el primero de edad de 67 añ</t>
  </si>
  <si>
    <t>Federico Fritze, Juan</t>
  </si>
  <si>
    <t>Juan Federico Fritze</t>
  </si>
  <si>
    <t>ería de Arribas, calle de las Carretas. Compendio sobre las enfermedades venéreas, compuesto por el Dr. Juan Federico Fritze : traducido al toscano v de este al castellano con notas por el Doctor D. Antonio Lavedan , Cirujano de exercito y honorario de cámara de S. M. &amp;c.: segunda edición , corregida y</t>
  </si>
  <si>
    <t>Federico Garcen de Sanjust</t>
  </si>
  <si>
    <t>á Capitanes de gra* naderos á los dé fusileros D. Andrés Ximenez , graduado de Teniente Coronel, y D. Federico Garcen de Sanjust: á Capitanes primeros á los segundos D. Santiago de Luna, D. Josef de la Concha, D. Florencio dfe, Areizaga y D. Cayetano de Ribas, el primero, segundo y quarto Ayudantes :á este</t>
  </si>
  <si>
    <t>Federico Gravina</t>
  </si>
  <si>
    <t>479 D. Federico Gravina , Teniente General de la Real armada de S. M. C., y nombrado Embaxador cerca del gobierno francés: fue recibido con salva de la artillería. Después de un corto descanso pasó á vis</t>
  </si>
  <si>
    <t>enal Caprara , Legado d latere de S.. S., fue presentado después de oir misa SS. MM. El Excmo. Sr.. D. Federico Gravina, Embaxador de S. M. Católica, fué presentado después de la gran parada ; y sucesivamente los Sres. Schimmelpenninck , Embaxador extraordinario de la República bátava; el Marques d</t>
  </si>
  <si>
    <t>diplomática del domingo fuéron presentados á S. M. I. en la forma acostumbrada, por el Exento. Sr. D. Federico Gravina, Embaxador de España, el Marques de Casa Tavares, Mayordomo de Semana de S. M. Católica , el Caballero Landabt ru , Capitán de dragones del Peni, D. Manuel-de las Heras, del Corne</t>
  </si>
  <si>
    <t>Federico Marcus</t>
  </si>
  <si>
    <t>la .cabecera de! enfermo , por medio de la experiencia, por el Dr. Adalbet-r to Federico Marcus , Médico, Director del JiospUalgeneral de JBumberga, y Profesor de Clínica; juntamente con el libro - .* y 3.0 de las Epidemias de Hipócrates, y Demostraciones medico-prácticas de sus pron</t>
  </si>
  <si>
    <t>Federico, Príncipe</t>
  </si>
  <si>
    <t>Príncipe Federico</t>
  </si>
  <si>
    <t>l.de Dinamarca ha llegado á Schieswig en casa de su suegro el Principe Carlos de Hesse. Su hijo, el Príncipe Federico será Comandante general de los ducados de Schieswig y, HoLstein.. Dícese que muy pronto van á terminarse por un convenio las desavenencias entre nuestro gobierno y la orden de S..</t>
  </si>
  <si>
    <t>de Soleversward, Mayor del Almirantazgo Real de Suecia , con la comisión de llevarse los restos del Príncipe Federico, Duque de Ostrogoda, y hermano del Rey de Suecia, que hace muchos meses que murió en Montpeller. París 22 de Junio. El viernes por la noche se echó á los pies del Emperador Madama</t>
  </si>
  <si>
    <t>Feliciano de Guizaburuaga</t>
  </si>
  <si>
    <t>nio Garayo, D. Josef de Alday, D. Josef de Iturralde, D. Bernardo Diosdado, D. Deogracias Cardenal, D. Feliciano de Guizaburuaga y D. Jcsef de Acevedo y Villaroel; habiendo conferido la penúltima plaza á D. Francisco Xavier de Amestoy, optando á la primera media, que este dexa, D. Antonio Pascual Bayot, y nombr</t>
  </si>
  <si>
    <t>FélixGalistéo</t>
  </si>
  <si>
    <t>ombre muerto, de dicho autor.rrTratado de las enfermedades venéreas, por Mr. Astruc, traducidas por D. FélixGalistéo, profesor de cirugía. Se hallarán en la librería de Fernandez, frente á las gradas de S. Felipe. Confesión del Sermo. Príncipe D. Antonio de Portugal, para pedir á Dios perdon de</t>
  </si>
  <si>
    <t>Fen-er, Pedro</t>
  </si>
  <si>
    <t>Pedro Fen-er</t>
  </si>
  <si>
    <t>pleo de Exento de número al Supernumerario D. Joaquín de la Cerda, y de Supernumerario al Brigadier D. Pedro Fen-er : de Brigadier al Subngadier D. Maximiliano Vandersteen : de Subrigadier. al Portaestandarte D. Agustín Duboys; v ha nombrado Cadetes supernumerarios a los Guaruia^D. isidro oe íb</t>
  </si>
  <si>
    <t>Fermín Ballesteros y Cardaza</t>
  </si>
  <si>
    <t>hiciéron por ios concurrentes, distingo iéndose entre ellos, y en los respectivos ramos de su clase D. Fermín Ballesteros y Cardaza, D. Angel Ruiz , D. Josef Cov-ían-, D. Josef Miquez , Ramón Rodríguez y D!. Josef Poladura, el que mas de 10 años de edad, y D. Miguel Miquez y Emidio Aragunde de 12. años: de man</t>
  </si>
  <si>
    <t>Fermín de Cidon, Manuel</t>
  </si>
  <si>
    <t>Manuel Fermín de Cidon</t>
  </si>
  <si>
    <t>sarias á los que han de profesar con perfección las bellas artes, auxiliadas con notas. Dalas á luz D. Manuel Fermín de Cidon é Iturralde. Esta obrita (dedicada al Excmo. Sr. Príncipe de la Paz) es un prontuario de quanto ha tratado la'historia de los falsos dioses del gentilismo. QuaJquiera podrá instru</t>
  </si>
  <si>
    <t>Fermín de Labiano, Martín</t>
  </si>
  <si>
    <t>Martín Fermín de Labiano</t>
  </si>
  <si>
    <t>on la Política : traducidos del griego de Nicocles y anotados por el Abate Mably, y del francés por Don Martin Fermín de Labiano, Presbítero, Doctor en sagrada Teología. Contiene los tratados siguientes : Idea general de la situación de Atenas y de la Grecia qiiando Focion instruyó á su discípulo Aristias:</t>
  </si>
  <si>
    <t>Fermín Guirior</t>
  </si>
  <si>
    <t>n de la Colegial, de Cascante, en el Reyno de Navarra, y Obispado de Tarazona, por fallecimiento de D. Fermín Guirior, á Don Ramón Tutor, Cura Párroco de Fontellas, en el de Tudela: para el Préstamo de Hornillos del Camino, y el Beneficio simple de S. Pedro de la Hoz, en el Arzobispado de Burgos,</t>
  </si>
  <si>
    <t>Fermín Monge</t>
  </si>
  <si>
    <t>Miguel y D. Pedro Marín: á Tenientes de fusileros de los de Avila y Ciudad-Real á los Subtenientes D. Fermín Monge y D. Vicente Nieto y Nieva: á Subteniente de granaderos del de Granada al de fusileros D. Pedro Martinez; y á Subtenientes de bandera de los de Badajoz, Valladolid, Sigüenza, Lorca y</t>
  </si>
  <si>
    <t>Fermín Pérez Piñuela</t>
  </si>
  <si>
    <t>iene , á D. Manuel Gómez Patrón: para una Ración de la misma catedral, vacante por fallecimiento de D. Fermín Perez Piñuela, á D. Lino Mahamud de Buedo: para otra Ración de la colegial de Covarrúbias , diócesis de Burgos, vacante por muerte de D. Domingo Bernal, á D. Miguel Olalla; y para el Beneficio</t>
  </si>
  <si>
    <t>Fermin Zalayeta</t>
  </si>
  <si>
    <t>en atención á que sus males no le permiten continuar desempeñando dicho empleo, que ha conferido á D. Fermin Zalayeta, Oficial mayor de la citada Secretaría: esta plaza.á D. Francisco Azua; y la que este dexa de Oficial segundo á Don Josef Antonio Molina. El 31 de Octubre próximo pasado entró en</t>
  </si>
  <si>
    <t>Fermín Zueco</t>
  </si>
  <si>
    <t>bteniente de bandera en el segundo batallón de infantería ligera de Voluntarios de Aragón al Cadete Don Fermín Zueco. En el Real cuerpo de Artillería se ha dignado S. M. promover á Coronel al Teniente Coronel, graduado de Coronel, D. Jcsef Navarro Falcon; á Teniente Coronel al Xefe de brigada, g</t>
  </si>
  <si>
    <t>Fernández Alegría, Matías</t>
  </si>
  <si>
    <t>Matías Fernández Alegría</t>
  </si>
  <si>
    <t>forme á lo dispuesto por plan beneficial, á otro que está vacante años Hace en la propia iglesia; á D. Matías Fernandez Alegría, con precisa personal residencia y cargo de misas, confesonario, y ayudar al Párroco en las funciones de su ministerio, según se previene por el citada plan. En la Compañía Flamen</t>
  </si>
  <si>
    <t>Fernández Bazan, Diego</t>
  </si>
  <si>
    <t>Diego Fernández Bazan</t>
  </si>
  <si>
    <t>año: para el Beneficio simple de Lardero, en el Obispado de Calahorra, vacante por fallecimiento de D. Diego Fernandez Bazan, á D. Romualdo González: para el Beneficio simple servidero del lugar de Becedas, Diócesis de Plaséncia, vacante por muerte de D. Pedro Lomo, á D. Atilano Martínez / Sochantre seg</t>
  </si>
  <si>
    <t>Fernández Cavada, Félix</t>
  </si>
  <si>
    <t>Félix Fernández Cavada</t>
  </si>
  <si>
    <t>cátedra de geografía , baxo la dirección de D. Antonio de la Peña, se sorteó el primer premio entre D. Félix Fernandez Cavada y D. Miguel Victorica, decidiendo la suerte en favor de- aquel, y quedando por lo mismo para este el premio segundo. El tercero, sorteado entre D, Mariano de Santander</t>
  </si>
  <si>
    <t>Fernández de Alfonso y Gándara, Juan</t>
  </si>
  <si>
    <t>Juan Fernández de Alfonso y Gándara</t>
  </si>
  <si>
    <t>ía de la Real Capilla de Reyes nuevos de Toledo, vacante por fallecimiento dé D. Francisco Moros, á D. Juan Fernandez de Alfonso y Gándara : para una Canongía de la catedral de Astorga , vacante por muerte de D. Miguel Franco Quintanó; á D. Antonio Carnicero Perez, Cura de la villa de Peque, en aquella diócesis: para</t>
  </si>
  <si>
    <t>Fernández de Cosío, Ventura</t>
  </si>
  <si>
    <t>Ventura Fernández de Cosío</t>
  </si>
  <si>
    <t>no pulse , recete ó no recete, con Otros emolumentos. Los pretendientes dirigirán sus memoriales á D. Ventura Fernandez de Cosío, por Aguilar de Campó, Potes, Buyezo. Los viages de Rolando y de sus compañeros de fortuna al rededor del mundo: obra de L. F. Jauffret, destinada á dar á la -juventud una idea de</t>
  </si>
  <si>
    <t>Fernández de Heredia, Miguel</t>
  </si>
  <si>
    <t>Miguel Fernández de Heredia</t>
  </si>
  <si>
    <t>tán D. Manuel Ortega , Ayudante de la tercera división de granaderos provinciales de Andalucía, y á D. Miguel Fernandez de Heredia, Capitán segundo del mismo cuerpo ; y Tenencia en el de infantería de Aragón al Subteniente de granaderos D. Vicente Alvarez Ordoño. S. M. se ha dignado nombrar Comisario de guerr</t>
  </si>
  <si>
    <t>Fernández de la Cámara, Antonio</t>
  </si>
  <si>
    <t>Antonio Fernández de la Cámara</t>
  </si>
  <si>
    <t>ha dignado nombrar para úna Media-Ración de la Metropolitana de Lima, vacante por fallecimiento de D. Antonio Fernandez de la Cámara * á D. Josef Mariano Cardona, Cura en el nais-iho Arzobispado» También ha nombrado S. M. Regidor honorario de la villa de Rio-** bamba, distrito de la Audiencia de Quito, á D. Lea</t>
  </si>
  <si>
    <t>Fernández de la Ferrería, Mateo</t>
  </si>
  <si>
    <t>Mateo Fernández de la Ferrería</t>
  </si>
  <si>
    <t>tilla : obra necesaria y útil para las Reales tesorerías, particulares y el comercio, compuesta por D. Mateo Fernandez de la Ferrería: un tomo en 8.° Se hallarán en las librerías de Francés, frente á S. Felipe el Real y calle de las Carretas. Versión parafrástica castellana del oficio y misa de la .festividad de</t>
  </si>
  <si>
    <t>Fernández de la Fuente, Manuel</t>
  </si>
  <si>
    <t>Manuel Fernández de la Fuente</t>
  </si>
  <si>
    <t>.para una Canongía de la catedral de Mondoñedovacante por fallecimiento de D. Ramón Diego Somoza, á D. Manuel Fernandez de la Fuente, Capitán retirado de infantería: para el Arcipresíazgo de la villa de Becerril de Campos, en la diócesis de Patencia, por muerte de D. Antonio de Cea Cachurro, á D. Manuel Redondo</t>
  </si>
  <si>
    <t>Fernández de la Peña, Juan Nepomuceno</t>
  </si>
  <si>
    <t>Juan Nepomuceno Fernández de la Peña</t>
  </si>
  <si>
    <t>Frontera, en el obispado de Salamanca, vacante por fallecimiento de D. Josef Araujo y Arguelles, á D. Juan Nepomuceno Fernandez de la Peña. El Ret se ha servido conferir Compañías en los regimientos de infantería de Granada y voluntarios de Estado á sus caballeros Pages D. Mariano Acedo Rico y D. Rafael Goycochea; y</t>
  </si>
  <si>
    <t>Fernández de Lara, Juan</t>
  </si>
  <si>
    <t>Juan Fernández de Lara</t>
  </si>
  <si>
    <t>e granaderos: á esta resulta al de fusileros D. Joaquín Vigil; y á Subteniente de bandera al Cadete D. Juan Fernandez de Lara : y en el batallón de la misma clase de-Puerto-Príncipe ha promovido á Subtenientes á los de bandera D. Pedro de la Pera y D. Josef de Varona, y los Cadetes D. Ma-* nuel Antonio B</t>
  </si>
  <si>
    <t>Fernández de Lavin, Francisco</t>
  </si>
  <si>
    <t>Francisco Fernández de Lavin</t>
  </si>
  <si>
    <t>que pasan de los pueblos inmediatos á tomarlas. Los aspirantes pondrán sus pretensiones á los Sres. D. Francisco Fernandez de Lavin y hermano, baxnda de Sta. Cruz de esta corte, cotí expresión de ios facultativos qué: puedan informar. 1 Los dos libros de las Epístolas selectas de Marco Tulio Cicerón, traducidas</t>
  </si>
  <si>
    <t>Fernández de Párraga, Antonio</t>
  </si>
  <si>
    <t>Antonio Fernández de Párraga</t>
  </si>
  <si>
    <t>528 D. Antonio Fernandez de Párraga, D. Antonio Dávila y Melero, Don Francisco Miíñoz y' Partearroyo, D.'Migúel Lizarza y Tamba, D. Mariano Bermudez de Gañas] P. Josef Salcedo y Zuloaga', D. Ignacio Me^dina y Iluet,</t>
  </si>
  <si>
    <t>Fernández del Bosque, Agustin</t>
  </si>
  <si>
    <t>Agustin Fernández del Bosque</t>
  </si>
  <si>
    <t>stazgo de Salcedo, ambos en la diócesis de Oviedo, por fallecimiento de D. Miguel Bernardo Meana, á D. Agustin Fernandez del Bosque. El Rey se ha servido conferir la Comandancia del tercer batallón del regimiento de infantería de Zaragoza al Teniente Coronel D. Juan Creagli de Lacy, Sargento mayor del de Volun</t>
  </si>
  <si>
    <t>Fernández del Valle, Juan</t>
  </si>
  <si>
    <t>Juan Fernández del Valle</t>
  </si>
  <si>
    <t>1 2 rs. en pasta. Se hallarán en la librería de Escribano, calle de las Carretas. Son originales de D. Juan Fernandez del Valle, Cirujano del número de los Reales hospitales. Defensa de las mugeres, ó discurso sobre la capacidad ó incapacidad natural de estas para las ciencias y artes; y si en razón de su</t>
  </si>
  <si>
    <t>Fernández Garrido, Juan</t>
  </si>
  <si>
    <t>Juan Fernández Garrido</t>
  </si>
  <si>
    <t>servidero de la parroquia de S. Esteban de la ciudad de ]? j &amp;s en c i a,; vaca n te por muerte de D. Juan Fernandez Garrido í, áDlJuati Francisco:Nuñez , Teniente de .Cuca del Tugar de Torno y&gt;en aquella diócesis: para otro igual Beneficio de la parroquia dé Santiago dé la.villa de Béjar , en la mbma d</t>
  </si>
  <si>
    <t>Fernández Gonzalo del Rio, Luis</t>
  </si>
  <si>
    <t>Luis Fernández Gonzalo del Rio</t>
  </si>
  <si>
    <t>no Mena y D. Martin Ruéíle, los dos últimas de granaderos. En atención á los méritos y servicios de D. Luis Fernandez Gonzalo del Rio, ha venido el Rey en concederle los honores de la Junta general de Comercio , Moneda y Minas. Habiendo recibido D. Domingo de G%!afdi, dé: la ciudad de S. Sebastian, los g vales R</t>
  </si>
  <si>
    <t>Fernández Navarrete, Benito</t>
  </si>
  <si>
    <t>Benito Fernández Navarrete</t>
  </si>
  <si>
    <t>Iglesia Metropolitana de Zaragoza, vacante por fallecimiento de D. Josef de Guevara Vasconcelos, á D. Benito Fernandez Navarrete: para otra de la Colé-* gjal de Besalu, en el Obispado de Gerona , vacante por muerte de Don Josef ftelf, á D. Pedro Bataller y Costa. El Rey se ha servido conferir Compañía en el</t>
  </si>
  <si>
    <t>Fernández Noseret, Luis</t>
  </si>
  <si>
    <t>Luis Fernández Noseret</t>
  </si>
  <si>
    <t>de S. Crines en esta corte, dibuxado por D. Josef Camarón, Pintor de cámara de S. M., y grabado por D. Luis Fernandez Noseret, discípulo de D. Manuel Salvador Carmona. Se hallará en la calcografía establecida en la imprenta Real. Por auto de 18 del corriente, proveído por el limo. Sr. venerando Baylío Fr</t>
  </si>
  <si>
    <t>Fernández Reyero, Manuel</t>
  </si>
  <si>
    <t>Manuel Fernández Reyero</t>
  </si>
  <si>
    <t>?j9 por muerte de D. Manuel Fernandez Reyero, á D. Josef Perez Iñigo, segundo Capellán de la compañía de caballeros Cadetes del cuerpo de Artillería establecida en Segovia. El Rey se ha servido nombrar Subtenientes del Real</t>
  </si>
  <si>
    <t>Fernández Rodríguez, Francisco Antonio</t>
  </si>
  <si>
    <t>Francisco Antonio Fernández Rodríguez</t>
  </si>
  <si>
    <t>Mier al de Palenzuela, de la Metropolitana de Burgos, á D. Francisco Antonio Fernandez Rodríguez, Cura de la Parroquial de Bcrlanes en el Obispado de Avila: para una Caí ongía de la Catedral de Avila, vacante por fallecimiento de D. J« sef de Aguilar y Osorio, á D. Francisco</t>
  </si>
  <si>
    <t>Fernández Tabeada, Gabriel</t>
  </si>
  <si>
    <t>Gabriel Fernández Tabeada</t>
  </si>
  <si>
    <t>dicha Real escuela , D. Josef María García Rodrigo, D. Leonardo Vidal, D. Gregorio González AzaoU, D. Gabriel Fernandez Tabeada, D. Benito Tellez deMeneses y D.Estéban Demetrio Brúñete, hagan en el Real Laboratorio de Química, establecido en la calle del Turco, os exercicios públicos relativos á dicho estu</t>
  </si>
  <si>
    <t>Fernández Texeyro, Vicente</t>
  </si>
  <si>
    <t>Vicente Fernández Texeyro</t>
  </si>
  <si>
    <t>at^y á esta resulta al Teniente D. Benigno García Calderón; á Tenientepe granaderos al de fusileros D. Vicente Fernandez Texeyro; á Tenientes los Subtenientes de granaderos D. Josef de Hevia , D. Tomas Estch^ y J&gt; Pedro Devcrges, y los de fusileros D. Francisco Garic, graduado , de Teniente, D. Francisco Ma</t>
  </si>
  <si>
    <t>Fernández, Antonio</t>
  </si>
  <si>
    <t>Antonio Fernández</t>
  </si>
  <si>
    <t>es, del Consejo de S. M. , Teniente Corregidor de esta villa, refrendada del Escribano de su número D. Antonio Fernandez, se ha mandado volver á sacar á subasta por término de i 5 días una casa, que se vende para hacer pago á acreedores, sita en la calle de la Manzana , número 8 , manz. 500, que tie</t>
  </si>
  <si>
    <t>D. Torquato Antonio Collado, del Consejo de S. M., Teniente Corregidor de esta villa, refrendada de D. Antonio Fernandez , Escribano de su número, se han vuelto á sacar á subasta por término de 15 dias las fincas de la población y término de la villa de Cercedilla, qne son las siguientes: Un prado d</t>
  </si>
  <si>
    <t>..... 141.25 Antonio Fernandez............. Escarcena del Campo. 141-25 Domingo Santiago.............. Carrera coba............ 14!.,25 Sebastian Capilla....</t>
  </si>
  <si>
    <t>ntonio Collado, del Consejo de S. M., Teniente Corregidor de esta villa, y escribanía del número de D. Antonio Fernandez, se ha sacado á subasta una casa, sita en la calle de S. Bernabé, núm. 5, manzana ir 5 , que tiene de sitio 7378^ pies, tasada en 42,180 rs. 27 mrs., de que se han de baxar las ca</t>
  </si>
  <si>
    <t>9 dias, contados desde el 30 de Agosto, comparezcan ante dicho Sr. por la escribanía del numera" de D. Antonio Fernandez, por sí ó por su procurador con poder bastante á deducir su derecho en el juicio de concurso y dimisión de bienes, que el referida Sobrado tiene hecho para satisfacerles sus crédi</t>
  </si>
  <si>
    <t>ontados desde el 21 de Agosto, comparezcan ante dicho Sr. Teniente, por la escribanía del número de D. Antonio Fernandez, por sí, ó por medio de procurador con poder bastante, á usar del derecho que presuman tener, con presentación de los documentos que califiquen sus respectivos créditos, con aperc</t>
  </si>
  <si>
    <t>plazuela del Gato, presentando en el juzgado de dicho Sr. Teniente, por la escribanía dé número de Don Antonio Fernandez, las escrituras, vales ú otros documentos que acrediten sus respectivos créditos , con apercibimiento que de no hacerlo les parará el perjuicio que haya lugar. A voluntad de su du</t>
  </si>
  <si>
    <t>chos con el uso del azogue, y sus preparaciones en la curación de las calenturas intermitentes, por D. Antonio Fernandez, Cirujano de Ja Real familia: un tomo en 8.°, á 4 rs. en rústica. Se hallará en la librería de Alonso, frente á las eradas de S Felipe. El librito intitulado el Padre inseparable</t>
  </si>
  <si>
    <t>Fernández, Bernardo</t>
  </si>
  <si>
    <t>Bernardo Fernández</t>
  </si>
  <si>
    <t>tán D. Josef María Roxas, Ayudante del propio cuerpo; y Tenencia en el del Rey, primero de línea, á D. Bernardo Fernandez, Guardia de Corps de la Compañía Americana.</t>
  </si>
  <si>
    <t>Fernández, Domingo</t>
  </si>
  <si>
    <t>Domingo Fernández</t>
  </si>
  <si>
    <t>e-dichas dos personas, ó de sus hijos y herederos,*se sirva participarla de palabra ó por escrito á D. Domingo Fernandez dél Campo, factor principal en el despacho de los Reales almacenes‘de cristales de esta corte, á quien delpropio modo podrán acudir los miamos interesados si llégare á su'noticia est</t>
  </si>
  <si>
    <t>Fernández, Francisco</t>
  </si>
  <si>
    <t>Francisco Fernández</t>
  </si>
  <si>
    <t>sef de Ribas , á la sierra Josef López Adan, vecino de Argete, y á poniente con Francisco Fernandez , vecino de Coveña, á 800 rs. Otra en dicho.termino y parage, de 3 fan. y 6 cel,, linde á oriente tierra que labra la viuda de Arenzado, á mediodía, la iglesia, á la sierra PP. Trinitarios</t>
  </si>
  <si>
    <t>14.--.25 Francisco Fernandez........... Lillo............................. i4t„25 141-21: Francisco Sánchez....</t>
  </si>
  <si>
    <t>; y para la Sargentía mayor de la plaza de la Puebla de Sanabria al Capitán D. Francisco Fernandez, Teniente del de Extremadura. En América. El Rey se ha servido nombrar Subinspector General de las tropas de las provincias del Rio de la Plata, y Cabo subalterno del Virey y Capitán Genera</t>
  </si>
  <si>
    <t>Fernández, Francisco Antonio</t>
  </si>
  <si>
    <t>Francisco Antonio Fernández</t>
  </si>
  <si>
    <t>orregidor de esta villa, Juez que conoce de los autos de abintestato, formados por fallecimiento de D. Francisco Antonio Fernandez, vecino que fué d¿ esta corte, se manda convocar á D. Juan Mauricio de la Rosa y Puga, ó sus representantes, para que con los documentos suficientes á su juzgado, y por la escriba</t>
  </si>
  <si>
    <t>Fernández, Joaquín Andrés</t>
  </si>
  <si>
    <t>Joaquín Andrés Fernández</t>
  </si>
  <si>
    <t>obligación de ayudar al Párroco en la administración de sacramentos, por sí ó por otro Sacerdote, á D. Joaquín Andrés Fernandez: para otro Beneficio simple servidero de la parroquial de Santa Cruz de la ciudad de Cuenca, vacante por fallecimiento de Don Miguel Martínez Marco, á D. Juan Francisco Pascual, c</t>
  </si>
  <si>
    <t>Fernández, Juan</t>
  </si>
  <si>
    <t>Juan Fernández</t>
  </si>
  <si>
    <t>nte, graduado de Capitán, D. Jacinto García: en el de América Tenencia ál Subteniente de granaderos D. Juan Fernandez : en el de Extremadura Tenencia al Subteniente de granaderos D. Josef Tirado: en el de Ordenes Militares Subtenencias de bandera al Sargento primero D. Josef Doblas y al Cadete D.</t>
  </si>
  <si>
    <t>........... 141..25 Juan Fernandez........... ........ Horcajo.................. 141 Domingo Chozas.......... ...... Arenal.............................. 141. •2S Félix Alvarez...</t>
  </si>
  <si>
    <t>Fernández, Melchor</t>
  </si>
  <si>
    <t>Melchor Fernández</t>
  </si>
  <si>
    <t>boy, Cura de Mochita en aquel obispado: para la Canongía magistral de la catedral de Buenos-Ayres á D. Melchor Fernandez, Catedrático de teología en el Real colegio de S. Carlos de dicha ciudad; y para lá Doctoral de la metropolitana de Sta. Fe á D. Josef Rafael Laso de la Vega. En el batallón veter</t>
  </si>
  <si>
    <t>er Subtenencias en el Regimiento de infantería de la Corona á los Sargentos primeros D. Tomas Leal, D. Melchor Fernandez y D. Sebastian Pereyra; y á los Cadetes D. Félix Arcos, Don Josef Perez, D. Juan Arguelles, D. Miguel de Sierra, D. Joaquín dé Sierra , D. Luis Carvajal, D. Josef Montero, D. Joaquín</t>
  </si>
  <si>
    <t>Fernández, Miguel</t>
  </si>
  <si>
    <t>Miguel Fernández</t>
  </si>
  <si>
    <t>Subteniente de granáderos D. Fernando de la Pedreguerá; á Subteniente de granaderos al de fusileros D. Miguel Fernandez; á Subteniente de fusileros al de bandera D. Vicente Prieto, y á Subteniente de bandera ai Cadete D. Josef María Jtengel. Por el Ministerio de Hacienda se ha comunicado á los Cons</t>
  </si>
  <si>
    <t>re los quales un vale Real de 600 pesos, creación de i.° de Mayo, núm. 402,160, renovado á favor de D. Miguel Fernandez, y sin endoso alguno. Quien lo hubiere encontrado, lo entregará en esta corte, carrera de S. Gerónimo, núm. 2 , quarto principal, casa de Don Gaspar Soler. En la Subdelegacion gen</t>
  </si>
  <si>
    <t>Fernández, Nicolás</t>
  </si>
  <si>
    <t>Nicolás Fernández</t>
  </si>
  <si>
    <t>........... 141..25 Nicolás Fernandez.... .......... Calzada deOropesa........ 141, ■25 Tomas López....................... Caste! Blanco.................. 141..25 Diego Sánchez......................</t>
  </si>
  <si>
    <t>Fernández, Pedro Antonio</t>
  </si>
  <si>
    <t>Pedro Antonio Fernández</t>
  </si>
  <si>
    <t>tenientes D. Ramón de Vargas, D. Juan Salvato, D. Pedro Antonio Fernandez, D. Ramón y D. Francisco de Velasco: Subtenencias de bandera al Sargento primero de granaderos D. Cayetano Pastera, y al Cadete D. Juan ¿«erafin Mayone; y en el de Málaga la Sarge</t>
  </si>
  <si>
    <t>Fernando, Archiduque</t>
  </si>
  <si>
    <t>Archiduque Fernando</t>
  </si>
  <si>
    <t>en "Austria y Bohemia parecen ser tambieiride la mayor importancia. El regimiento^de coraceros del Archiduque Fernando ha tenido órden de marchar á Liiitz, reemplazándolo en Viena el regimiento del Duque Alb.er</t>
  </si>
  <si>
    <t>Brisgawirá muy en breve á Berua , á fin de continuar las negociaciones-con la Suiza.. Parece que el Archiduque Fernando, Soberano de. Brisgaw &gt; recibirá á su servicio un regimiento completo» de tropas austríacas, que su sobrino el Emperador pone á disposición, suya. Se. repartirán, estas tropas en</t>
  </si>
  <si>
    <t>661 positivamente la noticia de que vendrá'! esta ciudad muy pronto nuestro Soberano el Archiduque Fernando. Por una orden-particular acaba de crearse ün Consejo'dé revisión superior para Brisgaw y Ortenau,el qual tendrá las mismasNa;tinbuciones que’eb tribunal de Casación en Francia. S</t>
  </si>
  <si>
    <t>8o4 público austríaco á pagar en adelante al Archiduque Fernando, tío del Emperador, y Gobernador actual del Brisgau, los 30c© florines que tenia consignados anualmente hasta que tomase posesión del Ducado de Módena. Los mptivos de esta sentenc</t>
  </si>
  <si>
    <t>Fernando, Príncipe</t>
  </si>
  <si>
    <t>Príncipe Fernando</t>
  </si>
  <si>
    <t>mbarcaciones. ALEMANIA. \rien,i ij de Setiembre. S. A. R. el Príncipe Iíenrique de Prusia, hijo del Príncipe Fernando, ha salido hoy para ei campo de Praga. En este mes se juntarán los estados de Bohemia. Madama de Champagny ha dado á luz un niño el 10 del corriente. El Emperador hereditario de A</t>
  </si>
  <si>
    <t>Fernanes</t>
  </si>
  <si>
    <t>irá el Presidente del Cuerpo leg.s11,1 El rXL'VdeTosPque votaron fué de *47- El ciud. Fernanes tuyo 181 votos, y Ramond 13: de consiguiente fuéron proclamados candidatos. No habiendo reunido pluralidad absoluta los otros dos, se hara otro nuevo escrutini</t>
  </si>
  <si>
    <t>Ferr-m, Martín</t>
  </si>
  <si>
    <t>Martín Ferr-m</t>
  </si>
  <si>
    <t>........... p68.. 8 Antonio Reyes..................... Viandal........................... 141. •25 D. Martin Ferr-m , Subte Anacleto Fernandez........... Alíala.............................. 141 25 niente................................ Reyno de Cataluña........ 484.. 4 Tomas Rodríguez.........</t>
  </si>
  <si>
    <t>Ferrandez, Vicente</t>
  </si>
  <si>
    <t>Vicente Ferrandez</t>
  </si>
  <si>
    <t>Manuel Arnaiz; y á Capitanes primeros á los segundos D. Francisco del Mazo,D. Francisco de Ley va y D. Vicente Ferrandez. En el Real cuerpo de Ingenieros del exército ha promovido S. M. á Capitanes primeros á IX Luis Valanzat, D. Juan Palomino y D. Nazareo de Egeia, Capitanes segundos; y á este empl</t>
  </si>
  <si>
    <t>Ferrandiere, Fernando</t>
  </si>
  <si>
    <t>Fernando Ferrandiere</t>
  </si>
  <si>
    <t>maestro y discípulo tratando de la parte mas sublime de la música, que es la composición: su autor Don Fernando Ferrandiere. Se hallará en la librería de Barco, carrera de S. Gerónimo. Kn la librería de Campo, casa de Tepa, se venden juntas ó separadas las obras de música siguientes: una pieza de músic</t>
  </si>
  <si>
    <t>Ferrandiz, Joaquín</t>
  </si>
  <si>
    <t>Joaquín Ferrandiz</t>
  </si>
  <si>
    <t>del Real cuerpo de Guardias de Corps se Ea servido el Rey promover á Alférez de la misma al Exento D. Joaquín Ferrandiz"; á Exentó de numero al Supernumerario D. Antonio Arteaga; á supernumerarios al Brigadier D. Josef Guillen y al Cadete D. Antonio Pascual Barradas; á Brigadieres á los Subrigaáier</t>
  </si>
  <si>
    <t>Ferranpy, Joaquín</t>
  </si>
  <si>
    <t>Joaquín Ferranpy</t>
  </si>
  <si>
    <t>España, quarto de húsares: para un empleo de Alférez en el del Rey, primero de cazadores, al Cadete D. Joaquín Ferranpy para el de Portaestandarte en el de Calatrava, décimo, de línea., ai Cadete D. Francisco de Paula Cárdenas.. En los regimientos provinciales ha nombrado el Rey-Capitán de granader</t>
  </si>
  <si>
    <t>Ferrer, Joaquín</t>
  </si>
  <si>
    <t>Joaquín Ferrer</t>
  </si>
  <si>
    <t>uizaburuaga, D. Manuel Pedro Marañon, Pedro Battho , natural de Burdeos , D. Julián de Alderete , y D. Joaquín Ferrer: se dieron á los demas certificaciones de su aplicación y aprovechamiento; quedando satisfecho el concurso de la suficiencia de los que se presentaron al examen. Se ha recibido en</t>
  </si>
  <si>
    <t>Fery</t>
  </si>
  <si>
    <t>rucción que se practicó al nacer el arte, y se practica en algunas naciones, y que se ha confiado á Mr. Fery, profesor de matemáticas en nuestra escuela , sabio distinguido, y autor de muchas obras estimadas de artillería. París de Febrero. El Senado conservador ha elegido entre los tres</t>
  </si>
  <si>
    <t>Fesch y Arzobispo, Cardenal</t>
  </si>
  <si>
    <t>Cardenal Fesch y Arzobispo</t>
  </si>
  <si>
    <t>las providencias convenientes á efecto d.e prevenir este desastre. León 8 de Febrero.. De orden del Cardenal Fesch y Arzobispo de esta ciudad, se ha publicado el mandamiento relativo á la cuaresma y al jubileo. Los fieles podrán comer de carne ios domingos , lunes y martes y jueves de cada semana, hasta el jué</t>
  </si>
  <si>
    <t>Fesch, Cardenal</t>
  </si>
  <si>
    <t>Cardenal Fesch</t>
  </si>
  <si>
    <t>nes que le1 hicieron, y decidió sobre la mayor parte de sus reclamaciones. León 15 de Setiembre, El Cardenal Fesch, nuestro Arzobispo* acaba de comprar á sus expensas, por medio del Abate JaufFret, sú Vicario general, la antigua Abadía de Argentíeres, para establecer en ella utr seminario dond</t>
  </si>
  <si>
    <t>a señalado para salir S. S. de Roma__ Su comitiva marchará en tres divisiones; en la primer^ irá el Cardenal Fesch, Ministro plenipotenciario de Francia cerca de la santa Sede, con un dia de antelación---- Con el Santo Padre irán los Eminentísimos Cardenales Antonelli, Borgia, De Pietro y Case</t>
  </si>
  <si>
    <t>l Papa al Archi-Canciller y al Archi-Tesorero. El mismo dia fué presentado al Emperador S. Erna, el Cardenal Fesch, que ha llegado con S. S___ El Santo Padre descansará algunos dias en Fontainebleau, y pasará á París antes de la consagración, que se verificará el domingo próximo 2 de Diciembre</t>
  </si>
  <si>
    <t>Fidalgo, Joaquín Francisco</t>
  </si>
  <si>
    <t>Joaquín Francisco Fidalgo</t>
  </si>
  <si>
    <t>y de los surgideros de la Guayra y Barcelona en la costa de tietr ra firme, por el Capitán de Navio D. Joaquín Francisco Fidalgo.=Carta general del Océano atlántico desde 52° de latitud N. hasta el Equador, construida de orden del Rey en el año de 1800, y corregida en este de 1804 en ei Depósito hidrográfic</t>
  </si>
  <si>
    <t>Filangiexi, Cayetano</t>
  </si>
  <si>
    <t>Cayetano Filangiexi</t>
  </si>
  <si>
    <t>marquilla. sr Reflexiones sobre la libertad del comercio de frutos, escrito en italiano por el Sr. D. Cayetano Filangiexi, traducido al español: papel en 8.° Se hallaran en la librería de la viuda de Ibarra, calle de la Gorgnera. Las Tardes de la granja /traducción libre del francés por D. Vicente Ro</t>
  </si>
  <si>
    <t>Filomeno de la Torre</t>
  </si>
  <si>
    <t>vido conferir Compañía en el regimiento de infantería de Valencia al Ayudante, graduado de Capitán, D. Filomeno de la Torre: Tenencia en el de Irlanda al Subteniente de granaderos D. Cecilio Melcon de Cienfuegos; y Subtenencias en los de Asturias, Navarra y Voluntarios de ia Corona á los Sargentos prim</t>
  </si>
  <si>
    <t>FINEL</t>
  </si>
  <si>
    <t>PROSPECTO DE LA OBRA INTITULADA TRATADO MÉDICO-FILOSÓFICO DE LA MANÍA, ESCRITO EN FRANCES POR EL Dr. FINEL, MEDICO DEL INSTITUTO NACIONAL DE FRANCIA, CATEDRATICO EN LA ESCUELA DE MEDICINA DE PARTS, PRESIDENTE DE LA SOCIEDAD DE EMULACION DE AQUELLA CAPITAL¿ Y MIEMBRO DE MUCHAS ACADEMIAS</t>
  </si>
  <si>
    <t>FinsLer</t>
  </si>
  <si>
    <t>Tesino, Turgovia y Vaud no han votado. £1 Coronel Hausser ha sido nombrado Ayudante del Land-Amman; Mr. FinsLer, Qúartel-maestre- general ; el Coronel Lauternau, Inspector de artillería , y Alois- Reding , Inspector general. Se encuentran actualmente aquí muchos literatos Alemanes, Dinamarq</t>
  </si>
  <si>
    <t>Fischer, Capitán</t>
  </si>
  <si>
    <t>Capitán Fischer</t>
  </si>
  <si>
    <t>ue se repartirán por la comisión áulica de beneficencia.. Ham burgo 7 de Noviembre. Por informe del Capitán Fischer, Capitán de la fragata Dinamarquesa la Nayade, ha concedido el Colegio de Almirantazgo 20© pesetas á cada marinero Francés, que en lo mas recio de la tempestad, y con riesgo de su</t>
  </si>
  <si>
    <t>Fita, Pedro Vicente</t>
  </si>
  <si>
    <t>Pedro Vicente Fita</t>
  </si>
  <si>
    <t>llena de agua , en la que se le echáron algunas migajas de pan; pasadas algunas horas , le advirtió D. Pedro Vicente Fita, Médico en esta villa, con tan poco movimiento aunque se le tocaba y cogia, que le faltaba poco para morir ; mandó que le mudaran á un librillo vidriado con nueva agua , mas no re</t>
  </si>
  <si>
    <t>FitáwilUám, Conde</t>
  </si>
  <si>
    <t>Conde FitáwilUám</t>
  </si>
  <si>
    <t>por comisión el Real consentimiento á varios biles aprobados por ambas Cámaras. Con este motivó el Conde FitáwilUám en la junta de la Cámara de los Pares hizo algunas observaciones muy enérgicas sobre el modo con que se exercia la función mas solemne ele la Soberanía, sin preceder antes ninguna c</t>
  </si>
  <si>
    <t>Fitzgerald, Juan</t>
  </si>
  <si>
    <t>Juan Fitzgerald</t>
  </si>
  <si>
    <t>vido conceder Ayudantía en el regimiento de infantería de Uitonia al Teniente, graduado de Capitán, D. Juan Fitzgerald: Tenencias en los de Inmemorial del Rey, Valencia, Navarra, Uitonia, América y Nápoles, á los Subtenientes D. Josef María de Andrade, Don Joaquín Bas, D. Juan Yañez, D. Mateo Coll</t>
  </si>
  <si>
    <t>Fleurieu</t>
  </si>
  <si>
    <t>Eesch , al General Duroc ., Talleyrand, Berthier, Caplaincontt, y al Consejero de Estado Segur.__ ¡Mr. Fleurieu ha sido nombrado Intendente general de la casa imperial ; Mr.. Reinusat, primer Chambelam.; Mr. Salmatoris y Craniayel, Introductores de Embaxador.es y Maestros de ceremonias;; Mr</t>
  </si>
  <si>
    <t>Flies</t>
  </si>
  <si>
    <t>ión de entrar de nuevo en dichos pueblos, y poner muevas carteles. Esta orden ba sido executada por Mr. Flies, sin necesidad de llegar á las. manos. Los comandantes de las tropas respectivas han firmado, en,un convenio entretanto, que subsistirá hasta que se concluyan las controversias qu</t>
  </si>
  <si>
    <t>Flinders, Capitán</t>
  </si>
  <si>
    <t>Capitán Flinders</t>
  </si>
  <si>
    <t>isla dé Francia, ha dado las noticias, siguientes: ,,Se hallan prisioneros de guerra en la isla el Capitán Flinders de la marina inglesa y otros varios. Las tropas que jbabian llegado de Francia se componían de 2 á 3© hombres: había ademas una milicia bien disciplinada, dividida en dos cuerpos de art</t>
  </si>
  <si>
    <t>nos lisonjeamos que el actual Gobierno lo apoye realmente, ó que se consiga contra su voluntad. El Capitán Flinders, que debía hacer un viage de descubrimientos á la Nueva Gáies meridional, se halla actualmente prisionero de guerra en la Isla de Francia, de donde ha escrito por la via de Améric</t>
  </si>
  <si>
    <t>• . El Ministerio ha representado al Gobierno Francés sobre la detención en la Isla de Francia del Capitán Flinders, que mandaba la chala pa de guerra el Investigador, destinada á dar la vuelta al mundo; pero aun no ha recibido respuesta alguna. Una carta de la esquadra del Mediterráneo , traíd</t>
  </si>
  <si>
    <t>Floren, Andrés</t>
  </si>
  <si>
    <t>Andrés Floren</t>
  </si>
  <si>
    <t>en^ld,e Granada á D. Francisco Ailer: en el de Toledo á D. Francisco Gaipcía ¡ en ei de Mallorca á D. Andrés Floren: en el de Irlanda á D. Inocencio!Santobety: en el de Cantabria á D. Francisco Aparicio*, en el de IpP.iincesa á D. Vicente Baixauli: en el de Extremadura á D. Antonio Sánchez: en</t>
  </si>
  <si>
    <t>Florencio</t>
  </si>
  <si>
    <t>Garcen de Sanjust: á Capitanes primeros á los segundos D. Santiago de Luna, D. Josef de la Concha, D. Florencio dfe, Areizaga y D. Cayetano de Ribas, el primero, segundo y quarto Ayudantes :á este empleo á los Capitanes segundos D. Francisco Valderrama, D. Josef Power.y D. Josef Viñals: i.</t>
  </si>
  <si>
    <t>Flores, Antonio</t>
  </si>
  <si>
    <t>Antonio Flores</t>
  </si>
  <si>
    <t>Chiloe al Teniente de la misma D. Francisco Arenas: á Teniente de la propia al Subteniente de ella D. Antonio Flores; y á Subteniente de, dicha compañía al Sargento primero de ella D. Francisco Xavier Velazquez. En la villa de Comillas, puerto del mar de Cantabria, á corta distancia de Santander</t>
  </si>
  <si>
    <t>Flores, Vicente</t>
  </si>
  <si>
    <t>Vicente Flores</t>
  </si>
  <si>
    <t>D. Manuel Sánchez; y Subtenencias de bandera en el de Extremadura al Sargento primero de granaderos D. Vicente Flores, y en el propio cuerpo y los de la Princesa y Málaga á los Cadetes D. Ralael del Hoyo, D. Manuel María de Arzalaya y D. Antonio Mortemard. En ei Real Cuerpo de Artillería se ha se</t>
  </si>
  <si>
    <t>Floreusse, Pablo</t>
  </si>
  <si>
    <t>Pablo Floreusse</t>
  </si>
  <si>
    <t>ido el Rey promover á Brigadier al Subrigadier D. Pedro Du— bois : á Subrigadier ai Portaestandarte D. Pablo Floreusse : á Cadete de número al Supernumerario D. Isidoro Ibarraj y á Supernumerario al Guardia D. Joaquín Dubarry de Colome. También se ha dignado S. M. conceder Tenencia de granaderos e</t>
  </si>
  <si>
    <t>Florez, Agustin</t>
  </si>
  <si>
    <t>Agustin Florez</t>
  </si>
  <si>
    <t>. a83 •• 16 5.a orí r.° Francisco Torre, id............ . Mascaraque...................... 283.. 16 D. Agustin Florez, Capi.'an Murió en Madrid............ 29°4"25 Pablo Domínguez.............. Aracena....... .............. 141..25 D. Fernando Postigo, Sub- Pasó á Capitán de la Luí- Manuel Romero</t>
  </si>
  <si>
    <t>Folch, Esteban</t>
  </si>
  <si>
    <t>Esteban Folch</t>
  </si>
  <si>
    <t>3 20 D. Esteban Folch, graduado de Subteniente. En el regimiento de dragones de España, en el reyno de México, se. ha servido el Re y.promover á Teniente al Alférez D. Antonio Truxillo; á Alférez al Po</t>
  </si>
  <si>
    <t>Fontana, Gregorio</t>
  </si>
  <si>
    <t>Gregorio Fontana</t>
  </si>
  <si>
    <t>un tomo en 4.0 á 15 rs. en pasta. Discurso sobre la mecánica animal : escrito en italiano por el P. D. Gregorio Fontana, profesor público de matemática sublime en la universidad de.Pavía,y tra¡» ducido al castellano por D. Antonio Pezzoni. Se vende en la librería de Escribano, calle de las Carretas</t>
  </si>
  <si>
    <t>Fontanes</t>
  </si>
  <si>
    <t>ue la Divinidad le hubiese escogido para consumar la obra mas útil á la humanidad y á la religión.” Mr. Fontanes, Presidente del Cuerpo Legislativo, arengó á S. S. en nombre de aquel Cuerpo en estos términos; ,,Quando el vencedor de Marengo concibió en el campo de batalla el designio de rest</t>
  </si>
  <si>
    <t>Foraster, Joaquín</t>
  </si>
  <si>
    <t>Joaquín Foraster</t>
  </si>
  <si>
    <t>hen. En el regimiento de caballería del Infante se ha servido el Rey promover á Teniente ai Alférez D. Joaquin Foraster: en el de Borbon á Portaestandarte ai Cadete D. Benito Cardón: en el de Farnesio á Alféreces á los Portaestandartes D. Antonio María Manso y D. Joaquin Polo: en el de Santiago á A</t>
  </si>
  <si>
    <t>Forcada, Julián</t>
  </si>
  <si>
    <t>Julián Forcada</t>
  </si>
  <si>
    <t>El Rey se ha servido nombrar Guarda-Almacenes ordinarios de Artillería á los Contralores reformados D. Julián Forcada y D. Tomas Sánchez Céspedes; Guarda-Almacén extraordinario al Ayudante de GuardaAlmacén reformado D. Pedro Rodríguez Moreno, y Sobrestante Pagador á D. Antonio Alarcon. En América. Ha</t>
  </si>
  <si>
    <t>Foresti</t>
  </si>
  <si>
    <t>jJeí^e sirye.S. M. enl la firma de; las credenciales , y Verter rfawis, Georgiuf * Se ha señalado á Mr. Foresti 2300 libras esterlinas de aumento de sueldo al año, y ademas se le libran 6© libras de la misma moneda en resarcimiento de las pérdidas que sufrió en Zante. éa tiempo. de las turb</t>
  </si>
  <si>
    <t>Forner, Juan Pablo</t>
  </si>
  <si>
    <t>Juan Pablo Forner</t>
  </si>
  <si>
    <t>actual del hombre, y leyes que deben observar, según los designios de la Providencia; compuesto por D. Juan Pablo Forner: un tomo en 4.0 Se hallará en la librería de Hurtado. Estampa que representa á S. Roque, abogado contra la peste, con la oración de la Misa para implorar el socorro de Dios en tod</t>
  </si>
  <si>
    <t>Forster</t>
  </si>
  <si>
    <t>e la orden del Baño á Mr. Arthur Paget-, su Enviado extraordinario en la corte de Viena. Dícese que Mr. Forster ha sido nombrado Canciller del Echiquier, y primer Lord, de la tesorería de Irlanda. : Los Embaxadores de Rusia , Suecia y Ñapóles tuvieron él sábado; una audiencia del Ministro d</t>
  </si>
  <si>
    <t>Fortun, Santiago</t>
  </si>
  <si>
    <t>Santiago Fortun</t>
  </si>
  <si>
    <t>de Voluntarios de Castilla á D. Manuel Agulló y D. Ramón Ximenez: en el de Voluntarios de Estado á D. Santiago Fortun, Cadete dei de Jaén; y eivei de Borbon á D. Josef Ferrer y X&gt;. Bartolomé Riera.</t>
  </si>
  <si>
    <t>Fourcroy</t>
  </si>
  <si>
    <t>curso sobre ia unión de la química y de la farmacia : escrito en francés por el ciud. Fourcroy , y traducido por el Dr. D. Francisco Carbonell y Bravo , profesor de farmacia, catedrático de química en Barcelona &amp;c. Se hallará á 4 rs. en la librería de Qu</t>
  </si>
  <si>
    <t>islativo un;deereto 'del gobierno, poniendo término á la sesión de este año. El ciudadano Fourcroy, que llevaba 4a voz , subió á la ífibuna y dixo : „ Ciudadanos legisladores, la sesión.que acaba de</t>
  </si>
  <si>
    <t>unión y conexión de la química y la farmacia , como nos lo ha querido probar el ciud. Fourcroy , sino que la farmacia es una prolongación de la química, ó una aplicación de ella á lo mas interesante de la vida humana, que es la salud de los vivientes. De</t>
  </si>
  <si>
    <t>Fox</t>
  </si>
  <si>
    <t>, dando mas extensión y realce al elogio que S. M. había hecho de sus esquadras-----Levantóse luego Mr. Fox, y dixo: ,,No intento de modo alguno entrar en el examen de la qiíestion general á que principalmente se dirige el discurso de gracias, ni disputar sobre si han discurrido con aci</t>
  </si>
  <si>
    <t>que se nos dice que está contenta con su suerte, y que se espera que siempre lo estará.”__ Concluyó Mr. Fox declarando que votaba en favor del discurso de gracias, por no turbar la unanimidad que le parecía observar en la Cámara---- El Chanciller del Echiquier manifestó la, satisfacción qu</t>
  </si>
  <si>
    <t>mucha circunspección; péro no puedo menos de recordaros lo que decia ayer tarde un honorable vocal (Mr. Fox) acerca del modo con que se toca el punto de la situación de Irlanda. Creo firmemerite ícon él, que Jas expresiones de que se han servido indican esperanzas que por la. naturaleza</t>
  </si>
  <si>
    <t>ll1 Mr. Fox se levantó y hablo de esta manera. ,, Haré algunas observaciones sobre la melancólica descripción con que el noble Lord ha concluido su discurso. Ha dicho que en su sentir la guer</t>
  </si>
  <si>
    <t>iones sobre la indisposición de S. M___ Mr. Lawley propuso qué lá Cívmara^e separase.___Tomó la voz Mr. Fox y dixo: ,,Señor¿ creéjia Taltár á lo que debo á la Cámara, al*público, á S. M., y á la constitución, del Réyno, si aprobase lates</t>
  </si>
  <si>
    <t>munes del 27. El Chanciller del Echiquier respondió defendiendo el principio de responsabilidad que Mr. Fox le parecía afectaba despreciar. Satisfizo á la objeción apenas insinuada por aquel orador , que los Ministros querían ocultar á la nación lo que debia saber, diciendo que si no se</t>
  </si>
  <si>
    <t>eridam elogia la conducta del Almirantazgo, y se burla del establecimiento de las barcas cañoneras. Mr. Fox dice que nadie mas que él respeta las virtudes y el carácter del Lord S. Vicente, y piensa que su conducta es tal que nada tiene que temer del resultado de los informes que se pid</t>
  </si>
  <si>
    <t>oficiales, y aun los soldados.” / PARLAMENTO IMPERIAL. El dia 23, en la Cámara de los Comunes, hizo Mr. Fox la propuesta que tenia anunciada sobre la defensa general del Reyno. Empezó su discurso con algunas observaciones preliminares, probando que el zelo</t>
  </si>
  <si>
    <t>es, que se les obligue á justificarse.” Mr. Pitt en un discurso muy eloqüente apoya la propuesta de Mr. Fox. ,,Basta para apoyarla decir que,desde el principio de la guerra,los Ministros no han adoptado mas que providencias débiles , absurdas ó contradictorias.” Después de reconvenir al</t>
  </si>
  <si>
    <t>el armanlento geneiraf de lós habitantes del Campo en algunos condados. Es de diferente opinión,de Mr. Fox, en quanto al derecho que tiene el Rey de exigir los servicios de sus vasallos; y cree que el gefe del estado tiene esta prerogativa. En fin, recapitula todos los motivos de oposi</t>
  </si>
  <si>
    <t>hablando del plan que propone , y entra en varias explicaciones. Mr. Yorke se opone á lo propuesto. Mr. Fox habla en favor del plan de Mi-. Pitt..,, Despu.es de haber los Ministros, dice , procurado reclutar gente por tiempo, y para servicio determinado, quieran ahora encontrarla por ti</t>
  </si>
  <si>
    <t>esta discusión era mas intempestiva ahora que las otras veces en que se difirió___ La propuesta de Mr. Fox en la Cámara de los Comunes, dei ^misino dia, se ha diferido hasta el miércoles. Dixo en esta junta Mr. Rose, que estaba autorizado por un miembro de la Cántara , ausente (Mi. Pítt)</t>
  </si>
  <si>
    <t>Londres iS de Mayo. Luego que Mr. Pitt salió de la conferencia que tuvo con el Rey , los amigos de.Mr. Fox se juntaron en el palacio de Carleton. Díxoles Mr. Fox que sus mas ardientes deseos eran de que se formase un ministerio vigoroso, y les rogó que no dexasen de contribuir con sus</t>
  </si>
  <si>
    <t>Lores Fitzwilliam, Carlisle , Spencer, Mrs. Tomas Grenville , Windham , &amp;c. Hallóse también en ella Mr. Fox, y con lá misma generosidad y desinterés les rogó que ninguna consideración de lo que le era meramente personal, les moviese á privar al público de sus luces en un momento tan crí</t>
  </si>
  <si>
    <t>mayoría de 29 votos, esto es, de 214 contra 185 , mayoría muy débil, y que exalta.las esperanzas de Mr. Fox, quien hizo un discurso á los que habian votado con el, quando se hallaban en la antecámara, miéntras que se contaban los votos. f, El 18 hubo largos debates* en la Cámara de '».</t>
  </si>
  <si>
    <t>Fox y Grenville</t>
  </si>
  <si>
    <t>d. El Príncipe de Gales ha dado estos dias pasados una comida, á que asistieron todos los amigos de Mr. Fox y Grenville : esta es la tercera que da S. A. R. de dos semanas á esta parte. Mr. Pitt camina siempre á su objeto, sin mostrar temor de los proyectos de sus antagonistas. Ayer el Embaxador de</t>
  </si>
  <si>
    <t>ta holandesa, y quatro transportes con 850 soldados , destinados , según se cree , á Batavia. Ayer, Mr. Fox y Grenville tuvieron una conferencia con Mf. Pitt en Domaing-Street, ántes de juntarse la Cámara de los Comunes, que duro hora y meJia. Se ignora el objeto de esta visita. Ayer salió el Rey e</t>
  </si>
  <si>
    <t>Fox, General</t>
  </si>
  <si>
    <t>General Fox</t>
  </si>
  <si>
    <t>ión de las declaraciones ha empleado casi todo su tiempo.__ Cita el exemplo de un pariente suyo (el General Fox) , eLqual fué nombrado Comandante en gefe en Irlanda al principio dé la guerra. Después de la horrible noche del 23 de Julio se le llamó, ó según se dice, hizo su dimisión. Es cie</t>
  </si>
  <si>
    <t>otal 54,918 hombres. Estas han sido todas las fuerzas empleadas en las operaciones de la guerra. El General Fox, nombradoTeniente Gobernador de Gibraltar,se embarcará muy pronto para su destino. Las Indias occidentales están infestadas con corsarios franceses. Se dice que han caído en su po</t>
  </si>
  <si>
    <t>Fran</t>
  </si>
  <si>
    <t>a de Napoleón Bonaparte. ___ El Senado oyó la arenga y el voto, y luego, el Vice-Presidente, que es Mr. Fran$ois de Neufchateau, respondió diciendo: que los conservadores de los derechos nacionales no podían dexar de oir con sumo gusto la expresión de un voto verdaderamente nacional; per</t>
  </si>
  <si>
    <t>manos de S. M. 1. los ind iv id uos del Senado, del Cuerpo legislativo , y del Tribunado---- S. E. Mr. Fran^ois de Neucháteau , Presidente del Senado , ha dicho su arenga bastante larga, en la qual afirma que el Imperio conferido á Bonaparte es el mas legítimo de la tierra, por estar fu</t>
  </si>
  <si>
    <t>El 30 de Noviembre fué presentada al Sumo Pontífice una Diputación del Senado, presidida por S, E. Mr. Fran^ois (de Neufchateau): ,, Santísimo Padre , dixo: la consagración de los Príncipes Cristianos empezó en Europa por los Monarcas de Francia, siguiendo en esto la costumbre que había</t>
  </si>
  <si>
    <t>Fran, Juan</t>
  </si>
  <si>
    <t>Juan Fran</t>
  </si>
  <si>
    <t>ara el empleo de Confesor del Real monasterio de Ja Visitación de Madrid , vacante por promoción de D, Juan Fran-' cisco de-Avéndaño á la Abadía de Peñalba, Dignidad de la catedral de ■Astorga, á D. Manuel Rodríguez Monge. En la Compañía Americana del Real cuerpo de Guardias de Corps ha nombra</t>
  </si>
  <si>
    <t>Fran-cisco del Villar, Miguel</t>
  </si>
  <si>
    <t>Miguel Fran-cisco del Villar</t>
  </si>
  <si>
    <t>an de la villa de Alarcon, diócesis de Cuenca, vacante por fallecimiento de D. Francisco Guzman , á D. Miguel Fran-cisco del Villar, Inquisidor del tribunal de aquella ciudad: para los Beneficios de Obanca y Solprio,.diócesis-dé Oviedo, á D. Quintín de Subi‘ranas: para la Medía-Ración, que este dexa, de la cat</t>
  </si>
  <si>
    <t>Francés y Cabañas, Isidoro</t>
  </si>
  <si>
    <t>Isidoro Francés y Cabañas</t>
  </si>
  <si>
    <t>para la segunda, vacante por promoción de 1). Domingo Terreu al Deanato de la catedral de Teruel, á D. Isidoro Francés y Cabañas, Beneficiado de la villa de Savariego, diócesis de Falencia: para la dignidad de Maestrescuela de la catedral de Plasencia, vacante por muerte de D. Félix García Luengo, á D. Pedr</t>
  </si>
  <si>
    <t>Francés, Capitán</t>
  </si>
  <si>
    <t>Capitán Francés</t>
  </si>
  <si>
    <t>ente con los desterrados, aparentando oponerse á la invasión; con cuya estratagema consiguió que el Capitán Francés, engañado con la aparente fuerza dei establecimiento, levase anclas, y se hiciese al mar. Es muy activo el tráfico que se hace en el dia en nuestras ciudades fabricantes. Desde la</t>
  </si>
  <si>
    <t>Francés, General</t>
  </si>
  <si>
    <t>General Francés</t>
  </si>
  <si>
    <t>esde Batavia á Filadelíia, debía arribar á la Isla de Francia^ con el objeto de desembarcar allí un General Francés, y otros varios oficiales de la misma nación, embarcados por órden déi Gobernador y Consejo de BataviaL” ■' •- ■■ ' • /' •v;"• ^ Por el navio.Calcuta, -llegado de la Nueva^Gáles m</t>
  </si>
  <si>
    <t>Franceschi, General</t>
  </si>
  <si>
    <t>General Franceschi</t>
  </si>
  <si>
    <t>ron el juramento solemne los miembros de la legión de honor que se Jiatlan en esta ciudad, y son el General Franceschi, los sargentos Demignon, Mialan, Oallont y VUlemin, y los cabos de esquadra Boísson y Franijois. Como el valor , la rectitud y» la sabiduría son los tínicos títulos para aspirar á</t>
  </si>
  <si>
    <t>I7I tos de este departamento* El General Franceschi les pasó revista, y el Prefecto Meshim los fué á cumplimentar, manifestándoles la satisfacción que le causaba ver tan lucida juventud, destinada i reemplazar los héroes que tanto</t>
  </si>
  <si>
    <t>Francesco Chacón</t>
  </si>
  <si>
    <t>Fernando Bilbao' y Xiinenez \ D. Pedro Notar bar tolo y Bolcgria, Dgíi Antonio González de Socueva, D. Francesco Chacón y valle, D. Gerónimo Obregon y Villa, D. Joaquín Tosquella y Monserrat, D. Jayme Fabregues y Santander , D. Antonio de Mella, D. Juan Novoa y Gayoso , D. Toribio Salcedo, D Francisc</t>
  </si>
  <si>
    <t>Franceses</t>
  </si>
  <si>
    <t>l Senado nombrada á este efecto, resulta, según dicen, que han votado 3.572,329 ciudadanos Franceses á favor de la dignidad Imperial hereditaria en la descendencia del Emperador, de Josef y de Luis Bonaparte. Compone este número el cuerpo del Estado, pues las</t>
  </si>
  <si>
    <t>Francis</t>
  </si>
  <si>
    <t>que indique alguna intención de propender á conciliar al gobierno el afecto de los malcontentos___ Mr. Francis insiste sobre la necesidad de hacer conocer á la Cámara la situación de Irlanda antes de proponerle una providencia que suspende la constitución. ,,Todavía no sé yo (prosigue), co</t>
  </si>
  <si>
    <t>de Sargento mayor del de milicias -disciplinadas ‘de "infantería de la misma aplaza de la Havaná á D. Francis■Co Barba, "Capitán del de infantería de Cantabria. El día 2 de Diciembre del. año pasado 1803 falleció en Valencia e! Exento. Sr. Conde déla Haye Saint-HijaireyCómendádor de Al me</t>
  </si>
  <si>
    <t>ara justificar ó condenar la conducta del Gobernador general en los principios de las hostilidades. Mr. Francis piensa que el Gobernador general pudo haber dado las razones ,que le mpviéron á.ordengr el movimiento de las tropas,, dos meses antes-de la ^poca^á: que alude el¿?noble rLor,d., S</t>
  </si>
  <si>
    <t>para volver á ganar nuestro ascendiente. PARLAMENTO IMPERIAL. En la Cámara de los Comunes,el dia 6,Mr. Francis «idió que se pre-* sentasen á la Cámara todos los papeles relativos á la guérra contra los máratas que se hubiesen recibido. El Lord Castelereagh dixo que dará á la Cámara todos l</t>
  </si>
  <si>
    <t>Francis Miliman</t>
  </si>
  <si>
    <t>olds,por recomendación del Consejo de Gabinete, para asistir á S. M., y tuvieron ayer una junta con Sir Francis Miliman y el Dr. Heberden, y todos juntos visitaron á S. M. en aquel dia. El Duque de York tuvo ayer una conferencia con Mr. Addington en . su casa de Dowring-Street. Con motivo de la enferme</t>
  </si>
  <si>
    <t>Francisca</t>
  </si>
  <si>
    <t>, coto de Brandantes, arzobispado de Santiago en el reyno de Galicia, viudo en terceras nupcias de Doña Francisca.Avellera, se ha maridado que las personas que tengan derecho d la herencia y bienes que quedaron por fallecimiento de dicho Otero, acudan d usar de él por la audiencia del nominad</t>
  </si>
  <si>
    <t>na................. r Francisco Perez María Ana Santa............................. 1 Dos criados de Doña Francisca 45 Total. Don Alfonso de Furundarena, Teniente Coronel del Real Cuerpo de Artillería, y Comandante de ella en esta plaza , .certifico :je con motivo de asistir diariamente por com</t>
  </si>
  <si>
    <t>Francisca Contamina</t>
  </si>
  <si>
    <t>S. Esteban, en el Re) no de Navarra, Obispado de Pamplona, los quales disfrutaron después su viuda Doña Francisca Contamina, y Doña Ana Antonia Oteyza, hija de ambos; y habiendo fallecido también estas, administra los referidos bienes D. Miguel Josef de Soler, Rector de la Parroquia de dicha villa, com</t>
  </si>
  <si>
    <t>Francisca de Ribas</t>
  </si>
  <si>
    <t>ad de la Torre y sitio de Guadalix , término de esta villa , linde á oriente y norte con tierras de Doña Francisca de Ribas , á mediodía tierra que llaman de la Asunción, y hoy posee la villa y el rio Guadalix, en 3600 rs. Quien quisáere hacer mejora, acuda en el término de 30 dias, contados desde el 2</t>
  </si>
  <si>
    <t>FranciscbNli</t>
  </si>
  <si>
    <t>ro , calle de Alcalá. *• Desdén Y ámór p4sj:ór?l;,‘!6 diversión Campestre ¿ compuesta con versos de Don FranciscbNli3TegbriÓ dé Salábl ést¿ drama propio por su sencillez y ningún aparato "para: repréiéntarté. en qualquiera cása particular ¿ es una imitación de las antiguas cómpostcTatléi bucolic</t>
  </si>
  <si>
    <t>Francisco Agustin</t>
  </si>
  <si>
    <t>............ 283-16 Francisco Agustin............... Anges.................................. 14I-1S Gabriel Gómez , id............. Santa Ana........................ 283-16 Vi cente Hernández............ Qcaíi...</t>
  </si>
  <si>
    <t>Francisco María</t>
  </si>
  <si>
    <t>o, y el accessit á Francisco Ruiz del Amo é Ignacio Moro___ Y con el discurso gratulatorio que leyó D. Francisco María ce Fita, individuo de-la Sociedad, se concluyó ia junta, que estuvo muy lucida con la buena música que hubo en los intermedios, y con la concurrencia de personas de las primeras c</t>
  </si>
  <si>
    <t>Francisco Martín</t>
  </si>
  <si>
    <t>............ 141-25 Francisco Martin................. Chozas................................ 14 Manuel Miguel..................... Yébenes.............................. I¿¡ D. Vicente Croquer, Subte­</t>
  </si>
  <si>
    <t>o Godoy, D. Francisco Bercial y D. Juan Baeza; y los 3 segundos de á 35 pesos á D. Miguel Salgado , D. Francisco Martin</t>
  </si>
  <si>
    <t>Segorve, vacante por promoción de D. Joaquín Soriano á otro de la de Xerica, del mismo obispado, á D. Francisco Martin: para otro de la villa de Constanti, diócesis de Tarragona, vacante por fallecimiento de D. Josef Cerda, á D. Antonio Roca. El Rey se ha servido nombrar para la plaza de Alcalde d</t>
  </si>
  <si>
    <t>ia al Cadete D. Gines Chicó de Güzman: en el de Irlanda ai Cadete de las Compañías fixas de Melilla D. Francisco Martin: en el de Ultonia al Cadete del ñxo de Ceuta D. Miguel Duarte; y en el de la Princesa al Cadete de la Compañía íixa del Peñón D. Manuel Bausa. En el Regimiento de infantería de Có</t>
  </si>
  <si>
    <t>Francisco Nicolás</t>
  </si>
  <si>
    <t>.......... 141-25 Francisco Nicolás................. ......................................... 141-25 Manuel Beltran, Cabo-....... Jelsa.......................... 141..25 8.* DHL 2.°</t>
  </si>
  <si>
    <t>Francisco Xavier Gabriel</t>
  </si>
  <si>
    <t>Castaño; y en el de León al Teniente del de Extremadura, graduado de Capitán, D. Francisco Xavier Gabriel: Ayudantías eii los de Sevilla y Extremadura á los Tenientes graduados de Capitán D. Antonio Domínguez y D. Angel del Castillo: Tenencia en el de Voluntarios de la Corona al Tenie</t>
  </si>
  <si>
    <t>Francisco'Estanislao Montero Gorj'on</t>
  </si>
  <si>
    <t>o nombrar para el Deanato, primera silla de la catedral de Salamanca-, vacante por fallecimiento de D. Francisco'Estanislao Montero Gorj'on, á D. Francisco Goiñez Valbuena, con retención de*la Canongía que obtiene en la misma catedral*, para la Dignidad de Pr ior de la colegial de S. Hipólito de Córdoba, vacante por m</t>
  </si>
  <si>
    <t>Francisco-Andrés</t>
  </si>
  <si>
    <t>varez; y Subtenencias de bandera en los de la Rey na y Navarra á líos Cadetes: D. Antonio Tovar , y D. Francisco-Andrés. En las Compañías fixas veteranas de Artillería de Canarias se ha servido S. M. conceder el empleo de-Capitán primero ai Capitán segundo, Ayudante mayor de la de Mallorca, Ramón L</t>
  </si>
  <si>
    <t>Francisco-de Cosío y Cálderont</t>
  </si>
  <si>
    <t>agón, el Arcedianato de la ciudad de Truxiilo, con ia reserva de 400 ducados de pensión á favor ¡de D. Francisco-de Cosío y Cálderont el Arcedianato • de Rey ña, en ia metropolitana de Santiago de Galicia, al Dr. D.. Manuel Martínez del Campo , con reserva de la pensión anual de 600 ducados áTavor de Don Tomas Cal</t>
  </si>
  <si>
    <t>Franco Quintanó, Miguel</t>
  </si>
  <si>
    <t>Miguel Franco Quintanó</t>
  </si>
  <si>
    <t>ernandez de Alfonso y Gándara : para una Canongía de la catedral de Astorga , vacante por muerte de D. Miguel Franco Quintanó; á D. Antonio Carnicero Perez, Cura de la villa de Peque, en aquella diócesis: para una Ración de la de Sigüenza, vacante por fallecimiento de D. Nicolás Rezusa, á D. Gabriel Caye</t>
  </si>
  <si>
    <t>Francos, Francisco Xavier</t>
  </si>
  <si>
    <t>Francisco Xavier Francos</t>
  </si>
  <si>
    <t>e 0. Nicolás Martin Laso , á 0. Josef Sánchez Velasco: para la Rabión» «jue hste obtiene en ella, á D. Francisco Xavier Francos: para la Media-Ración, que este dexa, á D. Pedro Ovando: para el Beneficio servidero de S. Benito de aquella ciudad, que obtiene Ovando, á D. Manuel Gómez Patrón: para el Benefici</t>
  </si>
  <si>
    <t>Franeis</t>
  </si>
  <si>
    <t>noticias de Londres del 24 de Marzo* En la Cámara baxa se trató el 14 de la guerra con los máratas. Mr. Franeis propuso se leyese la cláusula 35 del año 24 del reynado actual, que dice así*. ,, Por quanto el continuar los proyectos de conquista y extensión de dominio son cosas repugnantes a</t>
  </si>
  <si>
    <t>Frangís</t>
  </si>
  <si>
    <t>o al salón del trono, y presentado á S. M. I. por S. A. I. el Príncipe Josef, Gran Elector___ S. E. Mr. Frangís (de Neuf-Chateau) arengó á S. M. en estos términos___ ,,Señor. El derecho de sufragio , aplicado especialmente á las leyes fundamentales, es el primer atributo del poder soberano</t>
  </si>
  <si>
    <t>FranJsco Suárez</t>
  </si>
  <si>
    <t>o de la extinción de la Real Audiencia de Contratación, fué uno perteneciente á la testamentaría de D. FranJsco Suarez, del que resulta haber fallecido en la villa de S. Gil,re,yno de Sta. Fe, baxo testamento que otorgó en 30 de Diciembre de 1769, declarando era natural de estos reynos,. hijo legí</t>
  </si>
  <si>
    <t>Fráser, Coronel</t>
  </si>
  <si>
    <t>Coronel Fráser</t>
  </si>
  <si>
    <t>ento Gouffé con! su pequeño destacamento, amenazando tomarla por asalto si no rendían las armas. El Coronel Fráser, comandante de la Gorea, pidió capitulación , y se le coi¿r cedió, quedando la isla por los franceses, que se obligaron á conducir la • guarnición-á Inglaterra, mediante la palabr</t>
  </si>
  <si>
    <t>Fraser, Coronel</t>
  </si>
  <si>
    <t>Coronel Fraser</t>
  </si>
  <si>
    <t>fermos. De estos han muerto 19, y como unos 75 de los franceses.— ,,Siento infinito añadir, dice el Coronel Fraser, comandante de Goreá, que á pesar de la capitulación han sido indignamente robados los habitantes, oficiales, y aun los soldados.” / PARLAMENTO IMPERIAL. El dia 23, en la Cámara d</t>
  </si>
  <si>
    <t>Fray, Andrés</t>
  </si>
  <si>
    <t>Andrés Fray</t>
  </si>
  <si>
    <t>......D. Tomas Merino Ortiz. En Barcelona....... D. Ramón de Llordella é hijo. En Búrgos............D. Andrés Fray le. En Cdaiz............... D. Benito de la Piedra. En Cartagena........D. Manuel de Ozores. En Ciudad-Real... D. Ramón Antonio Pico. En Córdoba..,.,.,,.. Sres. Barcia padre é hij</t>
  </si>
  <si>
    <t>de la Peña y de S. Miguel, En Barcelona....... D. Ramón de Llordeila é hijo. En Btírgos............ D. Andrés Fray le. En Cádiz........ ..... D. Benito de la Piedra. En Cartagena.... Bernardo Eiizalde. En Ciudad-Real... \&gt;. Ramón Antonio Pico. En Córdoba......... Sres. Barcia padre é hijo. En</t>
  </si>
  <si>
    <t>Frayle, Andrés</t>
  </si>
  <si>
    <t>Andrés Frayle</t>
  </si>
  <si>
    <t>......D. Tomas Merino Ortiz. En Barcelona.......D. Ramón de Llofdella ¿ hijo. En Burgos........i... D. Andrés Frayle. En Cádiz.............. D. Benito de la Piedra. En Cartagena....... D. Manuel de Ozores. En Ciudad-Real... D. Ramón Antonio Pico. En Córdoba...... . Sres. Barcia padre é hijo. En</t>
  </si>
  <si>
    <t>Frere</t>
  </si>
  <si>
    <t>modo de empezar la guerra. Bien puede ser que tengamos muy buena causa en las manos en el asunto de Mr. Frere en Madrid, y podemos tenerla muy mala en el asunto del Cabo de Santa María: es menester fixarse en esta jUstincion, la qual sabemos la confundirán los que no se atreven á reco^plcer</t>
  </si>
  <si>
    <t>Frere, General</t>
  </si>
  <si>
    <t>General Frere</t>
  </si>
  <si>
    <t>burgo 14 de Marzo. A petición del ciud. Rheinard, el Senado de Hamburgo ha arrestado y entregado al General Frere, Comandante de Hamburgo, un individuo</t>
  </si>
  <si>
    <t>Freria</t>
  </si>
  <si>
    <t>idida por el Príncipe Luis, Condestable del Imperio, ha nombrado candidatos al Senado conservador á Mr. Freria, Coronel que fue de dragones al servicio del Rey de Cerdeña , ahora General de división al servicio de Francia, y á Mr. Galli, Presidente del Senado del Piamonte, actualmente Cons</t>
  </si>
  <si>
    <t>Fressenette, General</t>
  </si>
  <si>
    <t>General Fressenette</t>
  </si>
  <si>
    <t>ue intentaban pasar de aquella isla á la de Cuba &amp;e. Toda la guarnición de Jeremías, compuesta, del General Fressenette y de 457 hombres embarcados á bordo de 6 navios americanos y españoles, ha caidp en .manos del§nake.al salir de aquella pla,za. La mayor parte de.estas tropas!se ha enviado á Cuba;baxo</t>
  </si>
  <si>
    <t>Freyre de Brito, Manuel</t>
  </si>
  <si>
    <t>Manuel Freyre de Brito</t>
  </si>
  <si>
    <t>rciprestazgo de Campo con Melgar , en el Arzobispado de Burgos, por muerte de D. Ramón de Orozco, á D. Manuel Freyre de Brito, Capellán del hospital de la Misericordia de Olivencia: para el Préstamo de Sordillos, en el mismp Arzobispado, por fallecimiento de D. Manuel Marquina, á Don</t>
  </si>
  <si>
    <t>Friant, General</t>
  </si>
  <si>
    <t>General Friant</t>
  </si>
  <si>
    <t>a se ve en el Mediterráneo. FRANCIA. París 12 de Diciembre. El General en xefe Davoust dio orden al General Friant, comandante de la segunda división del campo de Brujas, para nombrar en su división una comisión militar encargada de exámínar el delito de espionage, de que se había hecho sospec</t>
  </si>
  <si>
    <t>FrJJayme de Gnanter y de Basols</t>
  </si>
  <si>
    <t>armasen contra los franceses. : ESPAÑA.. Madrid 7 de Febrero de 1804. S.M. se ha servido nombrar á 'D. FrJJayme de Gnanter y de Basols para la Abadía del Real monasterio de S. Esteban de Bañólas^ y á Don Fr. Juan Viola para la Pábordía de Lianza , Oficio regular del Real monasterio de S. Pedro de Rodas,'áníbos de</t>
  </si>
  <si>
    <t>Frochot</t>
  </si>
  <si>
    <t>a de los hospitales y socorros , y la Junta de comercio de París-----El Prefecto del departamento', Mr. Frochot, habló en nombre de todos los magistrados municipales, felicitando al primer Cónsul por haberse descubierto el atentado tque. se-dice meditaban contra su persona los Ministros ing</t>
  </si>
  <si>
    <t>Frutos Alvaro Benito</t>
  </si>
  <si>
    <t>se servirá entregarlo al inismó D. Josfef AfigelRecacdechea, vecino de Bilbao, ó á D. Frutos Alvaro Benito , vecino de esta Córte. . &gt; Con Real facultad se venden en término, de la ciudad de Badajoz las suertes de dehesa siguientes; una en la que* llaman de, Sarteneja, apreciada en 58,</t>
  </si>
  <si>
    <t>Frutos, Agustín</t>
  </si>
  <si>
    <t>Agustín Frutos</t>
  </si>
  <si>
    <t>nio Dámaso Torrecilla, Médico de número de dichos hospitales, y Catedrático substituto por S. M., y D. Agustín Frutos, Cirujano de ellos, y demostrador público , la miologia ó tratado de los músculos, á los practicantes modernos, y la neurología ó tratado de los nervios á los antiguos. — Y debien</t>
  </si>
  <si>
    <t>Fuero, Pablo</t>
  </si>
  <si>
    <t>Pablo Fuero</t>
  </si>
  <si>
    <t>r á Capitán al Teniente de granaderos D. Francisco Pliego: á Teniente de granaderos al de fusileros D. Pablo Fuero: á Subteniente de granaderos al de fusileros D. Miguel Ortiz; y á Subteniente de bandera al Cadete D. Nicolás Casas. Como en las ciencias físicas, con especialidad en la Medicina,</t>
  </si>
  <si>
    <t>Fullana, Francisco</t>
  </si>
  <si>
    <t>Francisco Fullana</t>
  </si>
  <si>
    <t>nombrar por Tenientes de las Compañías de Artillería fixas de la plaza de Ceuta á los Subtenientes D. Francisco Fullana y D. Josef Socas; y por Subtenientes de las mismas á los Sargentos del tercer regimiento D. Francisco Bedoya y -D. Manuel Fariñas. Igualmente ha conferido el Rey Compañía en el regimi</t>
  </si>
  <si>
    <t>Fundidor y Flores, Rafael</t>
  </si>
  <si>
    <t>Rafael Fundidor y Flores</t>
  </si>
  <si>
    <t>oy; y para el de Sotalbo, en la propia diócesis, vacante por fallecimiento de D.. Josef Ramii'^z, á D. Rafael Fundidor y Flores. El Rey se ha servido nombrar segundo Capellán del Real colegio militar de Segovia á D. JosefPerez Iñigo, Cura de la Higuera. En América. S. M. se.ha. servido nombrar para una Rac</t>
  </si>
  <si>
    <t>Fuster, Joaquín María</t>
  </si>
  <si>
    <t>Joaquín María Fuster</t>
  </si>
  <si>
    <t>as. S. M. se ha dignado conceder en el Regimiento de infantería de Valencia Tenencia al Subteniente D. Joaquín María Fuster ; y Subtenencias al Sargento primero D. Felipe Melero y al Cadete D. Jacobo Chico de Guzman: en el de Extremadura Compañía al Teniente de granaderos , graduado de Capitán, D. Migu</t>
  </si>
  <si>
    <t>Fustes, Lucas</t>
  </si>
  <si>
    <t>Lucas Fustes</t>
  </si>
  <si>
    <t>141-25 Lucas Fustes.......... .............. Almodovar..... ............... 141..25 Josef López......................... Villaseca................... 141-25 Ignacio Sinariz.....</t>
  </si>
  <si>
    <t>Gabriel Bartolomé</t>
  </si>
  <si>
    <t>bteniente de granaderos al de fusileros Don Cárlos Herdoiza; y á Subteniente de bandera del mismo á D. Gabriel Bartolomé, Sargento primero de dicho Cuerpo. En el Regimiento de infantería del Rey, íixo de Manila, se ha servido S. M. promover á Capitanes al Ayudante D. Manuel Hermosilla, y al Teniente</t>
  </si>
  <si>
    <t>Gacet, Pedro</t>
  </si>
  <si>
    <t>Pedro Gacet</t>
  </si>
  <si>
    <t>á 'D. Francisco de Zayas: en el de Navarra á D. Manuel Mendoza y D. MigueFRuano: en el de Aragón á D. Pedro Gacet, y al de igual clase del de España D. Luis Coquelin: en el de América á Don Francisco Vizcaíno: en el de la Princesa á D. Ramón Corrales: en el de Extremadura á-D. Blas San Millan</t>
  </si>
  <si>
    <t>Gaideano, Juan</t>
  </si>
  <si>
    <t>Juan Gaideano</t>
  </si>
  <si>
    <t>, D. Josef del Hoyo,D. Francisco de Murías, D. Mariano Leones, D. Josef Nuñez, D. Francisco Enrile, D. Juan Gaideano, D. Josef Burgués de Mesiessi, D. Manuel Lizarza, D. Josef Aznar y ¿.Francisco Simón Perez de Grandallana. A Alféreces de Navio los de Fragata' D. Juan Patricio Fournier, D. Luis</t>
  </si>
  <si>
    <t>Gaipcía, Francisco</t>
  </si>
  <si>
    <t>Francisco Gaipcía</t>
  </si>
  <si>
    <t>a*. en el de la Reyna á D. Julián Senesens: en^ld,e Granada á D. Francisco Ailer: en el de Toledo á D. Francisco Gaipcía ¡ en ei de Mallorca á D. Andrés Floren: en el de Irlanda á D. Inocencio!Santobety: en el de Cantabria á D. Francisco Aparicio*, en el de IpP.iincesa á D. Vicente Baixauli: en el d</t>
  </si>
  <si>
    <t>Gaivez, Francisco</t>
  </si>
  <si>
    <t>Francisco Gaivez</t>
  </si>
  <si>
    <t>Canoiigía de la Colegial de Antequera, Diócesi de Málaga, vacante por muerte deD. Toma? Garrido, á D. Francisco Gaivez, Guardia de Corps de la Compañía Española: para el Beneficio simple de San jEsréban de Sayar, en el Arzobispado de Santiago, vacante por promoción de D. Juan Bautista Sacristán á</t>
  </si>
  <si>
    <t>GalafchéWkyi</t>
  </si>
  <si>
    <t>udad. RUSIA. Petershurgo 20 de Diciembre* EL Emperador ha recompensado con la gran medalla de oro á Mr. GalafchéWkyi comerciante de esta capital , por haber abierto á sus expensas un cañal de quatro verstas de largo para reunir muchos rios pequeños cón él Tosna, y facilitar la navegación interio</t>
  </si>
  <si>
    <t>Galan, Francisco</t>
  </si>
  <si>
    <t>Francisco Galan</t>
  </si>
  <si>
    <t>eyna, Corona, Ordenes Militares y Voluntario de la Corona á los Sargentos primerosD. Antonio Guzman,Don Francisco Galan , D. Joaquín Valenzuela y D. Sebastian Vico; y en el de Extremadura á los Cadetes D. Ramón Solano y D. Manuel María Travesi. En el regimiento de infantería de Voluntarios de Casti</t>
  </si>
  <si>
    <t>Galarza, Pablo</t>
  </si>
  <si>
    <t>Pablo Galarza</t>
  </si>
  <si>
    <t>s de fusileros de los de Badajoz, Toro , Laredo y Betanzos á los Subtenientes D. Francisco Mercado, D. Pablo Galarza, D. Miguel Moneaban y D. Antonio Riomayor: á Subtenientes de granaderos de los de Ciudad-Rodrigo, Laredo, Avila y Chinchilla á los de fusileros D. Gaspar Escapa y Leal, D. Josef F</t>
  </si>
  <si>
    <t>Galban Miranda, Manuel</t>
  </si>
  <si>
    <t>Manuel Galban Miranda</t>
  </si>
  <si>
    <t>pesos, de la creación de i.° de Enero, núm. 332178, encabezado en la última renovación á nombre de D. Manuel Galban Miranda, sin ningún endoso ni firma, que se le extravió en esta corte el dia 22 de Marzo de este presente aíío,se servirá entregarlo en su casa, calle del Príncipe, esquina á la de la Vis</t>
  </si>
  <si>
    <t>Galdido y NAx'era, Fernando</t>
  </si>
  <si>
    <t>Fernando Galdido y NAx'era</t>
  </si>
  <si>
    <t>se ha servido nombrar para la Canongía que en la Iglesia de León ha resultado vacante por muerte de D. Fernando Galdido y NAx'era, á D. Ignacio-Joset Noailles,’Capellán del regimiento de Oiivencia, 3.0 de Húsares, en consideración á sus servicios, y conforme al Reglamento de'30 de Enero último : para las Cap</t>
  </si>
  <si>
    <t>Gali, Francisco</t>
  </si>
  <si>
    <t>Francisco Gali</t>
  </si>
  <si>
    <t>de la parroquia de S. Pedro de las Puellas, de la ciudad de Barcelona, vacante por fallecimiento de D. Francisco Gali, á D. Josef Dejes. El Rey se ha servido conferir Compañía en el regimiento de infantería de Mallorca al Teniente, graduado de Capitán, D. Ramón Sánchez Salvador. El Rey se ha serv</t>
  </si>
  <si>
    <t>Galianó, Dionisio</t>
  </si>
  <si>
    <t>Dionisio Galianó</t>
  </si>
  <si>
    <t>Octubre del año pasado, después de concluidos enteramente sus trabajos. £u Comandante el Brigadier D. Dionisio Galianó está formando en la actualidad la Carta del archipiélago de la Grecia y de las costas del Asia menor, Siria , Egipto y Berbería hasta Túnez; la qúal con las dos ya publicadas, que c</t>
  </si>
  <si>
    <t>Galiano, Dionisio</t>
  </si>
  <si>
    <t>Dionisio Galiano</t>
  </si>
  <si>
    <t>os en 1792 para exáminar la entrada de Juan de Fuca y la internación de sus canales navegables, por D. Dionisio Galiano y D. Cayetano Valdes, Brigadieres de Marina; dos hojas marca mayor................................................ 30. 25. Idem de las islas Antillas con parte de la costa firme hasta</t>
  </si>
  <si>
    <t>Galiano, Pedro</t>
  </si>
  <si>
    <t>Pedro Galiano</t>
  </si>
  <si>
    <t>e Granada al Cadete D. Luis Martínez del Corro: en el de Valencia al Sargento primero de granaderos D. Pedro Galiano, y al Cadete D. Hilarión Rodríguez: en el de Hibernia al Sargento primero D. Carlos Tiorati: en el de América al Cadete D. Manuel Xuarez Negron; y en el de Voluntarios de Estado a</t>
  </si>
  <si>
    <t>Galindo, Agustín</t>
  </si>
  <si>
    <t>Agustín Galindo</t>
  </si>
  <si>
    <t>sco Montero Gmjon, á D. Marcelino Sánchez Rangels : para la de Málaga, vacante por fallecimiento de D, Agustín Galindo, á D. Josef Navarrete, Capellán de honor</t>
  </si>
  <si>
    <t>Galisteo y Xiorro, Félix</t>
  </si>
  <si>
    <t>Félix Galisteo y Xiorro</t>
  </si>
  <si>
    <t>salud y prolongar la vida: escrito en francés por Mr. Begué de Presle : traducido ál castellano por D. Félix Galisteo y Xiorro, profesor de cirugía^ Se hallará en la librería de Fernandez , freáá las gradas de S. Felipe. ‘ • • Tratado de las enfermedades de los niños, traducido al francés de los Aforismos</t>
  </si>
  <si>
    <t>Gallardo Pacheco, Antonio</t>
  </si>
  <si>
    <t>Antonio Gallardo Pacheco</t>
  </si>
  <si>
    <t>ra el Priorato rural de Torre de Garci Fernandez, en el de Jaén, por muerte de D. Vicente García, á D. Antonio Gallardo Pacheco. El Rey se ha servido nombrar Secretario de la Sargentía mayor é Inspección del Real Cuerpo de Guardias de Corps á D. Manuel Kuiz de Villa y Barreda, Subrigadier supernumerario de</t>
  </si>
  <si>
    <t>Gallarza, Antonio</t>
  </si>
  <si>
    <t>Antonio Gallarza</t>
  </si>
  <si>
    <t>mpleo de Alférez en el regimiento de caballería de Calatrava , décimo de línea , al Portaestandarte D. Antonio Gallarza. Asimismo ha promovido S. M. á Alférez en el regimiento de caballería del Infante, quarto de línea, al Portaestandarte D. Lucio Oliveros; y á Teniente en el de Calatrava, décimo d</t>
  </si>
  <si>
    <t>Gallego, Francisco Xavier</t>
  </si>
  <si>
    <t>Francisco Xavier Gallego</t>
  </si>
  <si>
    <t>, Medio-Racionero de ella: para otra de la de Palencia, vacante por muerte de D. Genaro de Laya, á D. Francisco Xavier Gallego , Beneficiado de Preste de la villa de Ribas , en aquella diócesis: para otra de la colegial de Alfaro , en el obispado de Tarazona, vacante por promoción de D. Manuel Baldero á C</t>
  </si>
  <si>
    <t>Gallego, Gabriel Cayetano</t>
  </si>
  <si>
    <t>Gabriel Cayetano Gallego</t>
  </si>
  <si>
    <t>ella diócesis: para una Ración de la de Sigüenza, vacante por fallecimiento de D. Nicolás Rezusa, á D. Gabriel Cayetano Gallego, Medio-Racionero de .ella : para una Capellanía de la capilla Real de i&gt;. Jorge de la ciudad de Olite, en el obispado.de Pamplona, vacante por muerte de D; Manuel Azcona , á 1). J</t>
  </si>
  <si>
    <t>Galli</t>
  </si>
  <si>
    <t>m del libro 11 del código civil, del usufruto , del uso y de la habitación. El ciud. Galli ántes de exponer los motivos en que se fundaba -esta ley , hizo algunas consideraciones particulares, relativas á las circunstancias de la reunión del Piamonte</t>
  </si>
  <si>
    <t>de dragones al servicio del Rey de Cerdeña , ahora General de división al servicio de Francia, y á Mr. Galli, Presidente del Senado del Piamonte, actualmente Consejero de Estado. . : AMERICA ESPAÑOLA / , • &gt; Guanaxnato z de Mayo. El dia 21 de Febrero de este año dio principio á sus lecci</t>
  </si>
  <si>
    <t>Gam, Almirante</t>
  </si>
  <si>
    <t>Almirante Gam</t>
  </si>
  <si>
    <t>do Secretario de la Guerra á Mr. William Dundas. Ayer aespacháron por primera vez Lord Melville, el Almirante Gam* feieryr Mr. Dükenson, nuevos Lores del Almirantazgo. y ITALIA. Ñapóles 10 de Mayo. ■S. M. se ha dignado conceder su retiro del Ministerio de los Negocios extranjeros al caballero</t>
  </si>
  <si>
    <t>Gamez, Juan</t>
  </si>
  <si>
    <t>Juan Gamez</t>
  </si>
  <si>
    <t>io de Estado y del Despacho, al Sr. Gobernador del Consejo, para que oyendo á los Médicos de Cámara D. Juan Gamez, D. Manuel Pereyra y demas de su confianza, informase lo que se le ofreciese con relación al estado de dichas enfermedades y sus progresos; en cuya conseqiiencia hizo citar á los</t>
  </si>
  <si>
    <t>el Sr. Marques de las Hormazas, Teniente de Hermano mayor de los mismos, y de los Médicos de Cámara D. Juan Gamez, D. Manuel Pereyra y D. Juan Bautista Soldevílla, que se publico en la gaVeta de 6 del corriente, núm. 19, con inserción de la certificación que dieron dichos profesores del buen</t>
  </si>
  <si>
    <t>Gañalejo, Miguel</t>
  </si>
  <si>
    <t>Miguel Gañalejo</t>
  </si>
  <si>
    <t>e Sargento mayor del batallón de Milicias disciplinadas de Puerto-Príncipe, en la referida isla , á D. Miguel Gañalejo, Gapitan del ‘regimiento de infantería de Cuba. Finalmente, ha nombrado S. M. Ayudante primero de la plaza de Puerto-Rico al Teniente D. Emigdio Andino , segundo Ayudante de la mi</t>
  </si>
  <si>
    <t>Gantheaume, Almirante</t>
  </si>
  <si>
    <t>Almirante Gantheaume</t>
  </si>
  <si>
    <t>navios enemigos hicieron algunos esfuerzos para salir del puerto. Hubiera conseguido su intento el Almirante Gantheaume , que mandaba esta división, si nuestras fragatas, que se hallaban inmediatas á la costa, no la hubiesen descubierto, y dado al punto las señales correspondientes al resto de la e</t>
  </si>
  <si>
    <t>ron su junta el dia 7, y ofrecieron muchos caballos y carruages. Ya no queda duda de la entrada del Almirante Gantheaume en Brest. Se han recibido en el Almirantazgo pliegos del 6, que anuncian esta noticia. Es creíble que Gantheaume efectuó su salida de Brest, pasando por el paso llamado Du-Raz, cont</t>
  </si>
  <si>
    <t>ón, proponiendo las reformas que estimen útiles é indispensables. FRANCIA. Brest 3 de Noviembre. El Almirante Gantheaume ha dado un convite al Mariscal del Imperio Augereau á bordo del navio nombrado el Vengador, de 120 cañones. La mesa era de 100 cubiertos, y reynó el mejor orden, finura y suntuosi</t>
  </si>
  <si>
    <t>Gantneaume, Almirante</t>
  </si>
  <si>
    <t>Almirante Gantneaume</t>
  </si>
  <si>
    <t>&amp;4S portante noticia de haber salido de Brest f navios de línea y 4 fragatas, i las órdenes del Almirante Gantneaume. £1 Almirante Graves les dió inmediatamente caza con la división que manda , compuesta de 6 navios de línea, 2 fragatas y un cúter. Luego que se supo esta noticia en Plimoutli, se</t>
  </si>
  <si>
    <t>Garasa, Francisco</t>
  </si>
  <si>
    <t>Francisco Garasa</t>
  </si>
  <si>
    <t>nombrar para una plaza de Oidor de la Real Audiencia de Buenos-Ayres, vacante por fallecimiento de Don Francisco Garasa, á D. Josef Márquez de la Plata, Fiscal de lo civil de la propia Audiencia. Por el Ministerio de Hacienda se ha comunicado con fecha de 23 de Febrero la. Real orden siguiente: Con</t>
  </si>
  <si>
    <t>Garayo, Antonio</t>
  </si>
  <si>
    <t>Antonio Garayo</t>
  </si>
  <si>
    <t>iciales de dicha Secretaría por el orden de su antigüedad D. Josef de Torre, D. Miguel de Orvaneja, D. Antonio Garayo, D. Josef de Alday, D. Josef de Iturralde, D. Bernardo Diosdado, D. Deogracias Cardenal, D. Feliciano de Guizaburuaga y D. Jcsef de Acevedo y Villaroel; habiendo conferido la penú</t>
  </si>
  <si>
    <t>Garc-ía Llano, Francisco</t>
  </si>
  <si>
    <t>Francisco Garc-ía Llano</t>
  </si>
  <si>
    <t>las monjas llamadas Vallecas; y para otra de La catedral de Mondoñedo, vacante por fallecimiento de D. Francisco Garc-ía Llano, á D. Luis Julián D íaz Pardo, Cura de Santo Tomé deRecaré, en aquel obispado. S. M. ha nombrado'Ayüdántes délos regimientos provinciales de Córdoba y Ecija á los Capitanes D. Eli</t>
  </si>
  <si>
    <t>García</t>
  </si>
  <si>
    <t>darse en aquel tiempo, como (por exemplo) el de Háxera, dado por ebCortde-&gt;'Di.'SaU&lt;ího y sítihijo D. García, que después fue general áútoda-JavRioja: de las cortes de Coyanca en 10jo, quando reunidos los reynos de León y Castilla en la persona de D. Fernando I, se estableció el orden de</t>
  </si>
  <si>
    <t>ntcnebro y compañía, calle de las Carretas. = En la misma de Fuentenebro se halla también el Con-de D. García, tragedia, por D. Lorenzo Villaroel. Quaderno 2° y 3.0 de las Fábulas en verso castellano, por D. Félix María Samaníego, adornadas con las 20 estampas que corresponden ai libro 2.</t>
  </si>
  <si>
    <t>García Abreu, Domingo</t>
  </si>
  <si>
    <t>Domingo García Abreu</t>
  </si>
  <si>
    <t>: para una Ración de la Catedral de Canaria, vacante por muerte de D. Domingo Gutiérrez de Frias, á D. Domingo García Abreu , Cura del lugar de Tacoronte en la isla de Tenerife; y para la Capellanía Real de la Parroquia de nuestra Señora del Espino, de la ciudad de Soria, vacante por fallecimiento de</t>
  </si>
  <si>
    <t>García Barrientos, Julián</t>
  </si>
  <si>
    <t>Julián García Barrientos</t>
  </si>
  <si>
    <t>dia-Ración de la de Ciudad-Rodrigo, por promoción de D. Roque Piñuela á Canongía de la de Zamora, á D. Julián García Barrientos, Cura de la Parroquial de S. Cristóbal de aquella ciudad: para el Arciprestazgo de Campo con Melgar , en el Arzobispado de Burgos, por muerte de D. Ramón de Orozco, á D. Manuel Fr</t>
  </si>
  <si>
    <t>García Calderón, Benigno</t>
  </si>
  <si>
    <t>Benigno García Calderón</t>
  </si>
  <si>
    <t>nto de infantería de la Luisiana á Capitán al Ayudant^ D. Josef Cruzat^y á esta resulta al Teniente D. Benigno García Calderón; á Tenientepe granaderos al de fusileros D. Vicente Fernandez Texeyro; á Tenientes los Subtenientes de granaderos D. Josef de Hevia , D. Tomas Estch^ y J&gt; Pedro Devcrges, y los de</t>
  </si>
  <si>
    <t>García Conde, Diego</t>
  </si>
  <si>
    <t>Diego García Conde</t>
  </si>
  <si>
    <t>regimiento de dragones de México se ha servido S. M. promover á Teniente Coronel ai Sargento mayor D. Diego García Conde; á Sargento mayor al Capitán D. Josef María Echeagaray, y á Capitán al Teniente D. Mariano del Rivero. El Rey se ha servido promover á Capitanes del batallón de milicias disciplin</t>
  </si>
  <si>
    <t>García Cubilano, Manuel</t>
  </si>
  <si>
    <t>Manuel García Cubilano</t>
  </si>
  <si>
    <t>, vacante por traslación de D. Luis Cerpa Manrique á igual Prebenda de la de Antequera de Oaxaca, á Don Manuel García Cubilano: para la Ración que obtenía al Medio-Racionero D. Miguel Diaz Rábago; y para esta resulta á D. Francisco Antonio Cano, Cura del Vallé de Santiago en aquella diócesis. Eri el regim</t>
  </si>
  <si>
    <t>García de Arrieta, Agustín</t>
  </si>
  <si>
    <t>Agustín García de Arrieta</t>
  </si>
  <si>
    <t>mpletada con varios suplementos, y los correspondientes apéndices sobre la literatura española, por D. Agustín García de Arrieta, de la biblioteca de los estudios Reales: tomo 7.0 que trata del estilo: sale ilustrado y adicionado con el examen del estilo de nuestros mejores prosadores castellanos D. Antonio</t>
  </si>
  <si>
    <t>pletada con varios suplementos, y los correspondientes apéndices sobre la literatura Española, por; D. Agustín García de Arrieta, de la Biblioteca de los Estudios Reales de esta Corte: tomo 8.°, que contiene el tratado de la construcción oratoria, el de la colocación de las palabras, traducido del griego de</t>
  </si>
  <si>
    <t>García de la Huerta, Pedro</t>
  </si>
  <si>
    <t>Pedro García de la Huerta</t>
  </si>
  <si>
    <t>asta. Comentarios de la pintura encáustica del pincel: un tomo en 8.°-. á 10 rs. en pasta: su autor D. Pedro García de la Huerta. Se hallarán en el despacho de la imprenta Real. Por el juzgado del Sr. D. Diego Gil Fernandez, del Consejo de S. M., Alcalde en su Real casa y corte, se han mandado sacar á públi</t>
  </si>
  <si>
    <t>García de la Madrid, Miguel</t>
  </si>
  <si>
    <t>Miguel García de la Madrid</t>
  </si>
  <si>
    <t>compañero el Sr. D. Joaquín Herran despacha su audiencia y negocios, y escribanía de. provincia de D. Miguel García de la Madrid , que se admitirán las que se hiciesen, siendo la mitad en metálico.zzQuien quisiere hacer postura á otra casa sita en la cuesta de la Vega, núm. 4, manz. 192 , su sitio 15,095 pi</t>
  </si>
  <si>
    <t>compañero el Sr. D. joaquin fierran, despacha su audiencia y negocios, y escribanía de provincia de D. Miguel García de la Madrid, con la precisa'circunsíancia de ser la mitad de su valor líquido, deducidas cargas, en moneda metálica; y se advierte estar señalado para su remate el dia 5 de Junio próxuno veni</t>
  </si>
  <si>
    <t>García de la Madrid, Miguel Joseph</t>
  </si>
  <si>
    <t>Miguel Joseph García de la Madrid</t>
  </si>
  <si>
    <t>s. Quien quisiere hacerla acuda ante el referido Sr. Intendente y por la escribanía de provincia de D. Miguel Joseph García de la Madrid. A voluntad de su dueño se venden en la ciudad de Alcalá de Henares 4 casas contiguas, sitas en la plazuela que llaman de Palacio: una que se compone ó consta de 5390 pies quadrad</t>
  </si>
  <si>
    <t>García de la Prada, Manuel</t>
  </si>
  <si>
    <t>Manuel García de la Prada</t>
  </si>
  <si>
    <t>s de Lusitania al Sargento primero D. Lorenzo Salguero. En atención á los distinguidos servicios de D. Manuel García de la Prada , Comisario Ordenador honorario de los Reales exércitos , se ha dignado S. M. concederle los honores de Intendente de Provincia. Mu América. Para los empleos de Tenientes veterano</t>
  </si>
  <si>
    <t>García de Linares, Ramón</t>
  </si>
  <si>
    <t>Ramón García de Linares</t>
  </si>
  <si>
    <t>ido conceder Ayudantía en el Regimiento de infantería de Zaragoza al Teniente, graduado de Capitán, D. Ramón García de Linares. S. M. se ha servido promover á Gefe de Brigada del Real Cuerpo de Artillería al Capitán primero, graduado de Coronel, D. Joaquín Navarro Sangran.</t>
  </si>
  <si>
    <t>García de Montejo, Isidoro</t>
  </si>
  <si>
    <t>Isidoro García de Montejo</t>
  </si>
  <si>
    <t>Real de Zapadores á D. Felipe Lacorte y D. Alexandro Pastor; y á Capitanes segundos á los Tenientes D. Isidoro García de Montejo, Don Juan Sociats, D. Fernando Norzagaray y D. Pedro Salazar. En América. Habiendo resuelto S. M. que con ,el batallón veterano de Sto. Domingo se forme el tercero del regimiento</t>
  </si>
  <si>
    <t>García de San Pedro, Diego</t>
  </si>
  <si>
    <t>Diego García de San Pedro</t>
  </si>
  <si>
    <t>nco; y en los de Irlanda, Astúrias y Borbon á los Cadetes de los propios cuerpos D. Miguel Garrido, D. Diego García de San Pedro y D. Josef Mariano Berard. El Rey se ha servido nombrar para la plaza de Oidor de la Chancillería de Valladolid, vacante por promoción de D. Luis Marcelino Pereyra á una supernumerari</t>
  </si>
  <si>
    <t>García de Santa María, Sebastián</t>
  </si>
  <si>
    <t>Sebastián García de Santa María</t>
  </si>
  <si>
    <t>su Jubilación á los Intendentes dé la provincia de Murcia, Jaén y Salamanca D; Antonio Montenegro, D. Sebastian García de Santa María, y Conde de la Vega-de Sella, concediendo ademas al primero los honores de Intendente de Exército ; y en su conseqiiencia ha noínbraáo para la'Intendencia de Murcia á D011 Martin’</t>
  </si>
  <si>
    <t>García Fiorez, Francisco</t>
  </si>
  <si>
    <t>Francisco García Fiorez</t>
  </si>
  <si>
    <t>D. Jayme Fabregues y Santander , D. Antonio de Mella, D. Juan Novoa y Gayoso , D. Toribio Salcedo, D Francisco García Fiorez , D. Tomas Cervino, D, Josef Muller, D. Francisco Viana y Achucarro, D. Antonio Doral y Anuncibay. El Rey se ha servido nombrar Auditor de Guerra del exército y Capitanía general</t>
  </si>
  <si>
    <t>García Huidobro, Rafael</t>
  </si>
  <si>
    <t>Rafael García Huidobro</t>
  </si>
  <si>
    <t>dunate al obispado de Guamanga, á D. Estanislao de Rocavarreno; el Arcedianato qtie dexa al Chantre D. Rafael García Huidobro; la Chantría ¿i Maestrescuela D. Pedro Antonio de Roxas; esta dignidad al Tesorero D. Josef Antonio de Errazurriz; y la Tesorería á D. Manuel Josef de Vargas, Canónigo magistral d</t>
  </si>
  <si>
    <t>García Luengo, Félix</t>
  </si>
  <si>
    <t>Félix García Luengo</t>
  </si>
  <si>
    <t>s de Falencia: para la dignidad de Maestrescuela de la catedral de Plasencia, vacante por muerte de D. Félix García Luengo, á D. Pedro Diez García, Canónigo Penitenciario de ella: para unaCanongía Cardenalicia de la catedral de Orense, vacante por promoción de D. Juan Pascual de Churruca á la Abadía d</t>
  </si>
  <si>
    <t>García Malo, Ignacio</t>
  </si>
  <si>
    <t>Ignacio García Malo</t>
  </si>
  <si>
    <t>calle de las Carretas. Voz de la naturaleza: memorias ó anécdotas curiosas é instructivas: su autor D. Ignacio García Malo: 7 tomos en 8.°, segunda impresión de los 6 primeros tomos. Véndese á 5 rs. cada tomo á la rústica en las librerías de Barco, carrera de S. Gerónimo, y de Castillo, Traite á las g</t>
  </si>
  <si>
    <t>d: escrita en francés á la mitad del año de 1803 por Pedro Planchará, y traducida al castellano por D. Ignacio García Malo. Constará de 6 ó 7 tomos en r 2.°, y el título solo anuncia su utilidad y su objeto : los que mas se han distinguido en las armas, en la política, en las letras y en las artes ocu</t>
  </si>
  <si>
    <t>: escrita en francés á Ja mitad del año de 1803 por Pedro Blanchard, y traducida ,al castellano por D. Ignacio García Malo. Constará de 6 ó 7 tomos en je 2.0 El 3,0 esta ya imprimiéndose , y se hallarán el i.° y 2.® en las librerías de Castillo, frente á las gradas de S. Felipe; de Barco, carrera de $</t>
  </si>
  <si>
    <t>ad : escrita en francés á la mitad del año de 1803 por Pedro Bianchard: traducida al castellano por D. Ignacio García Malo. Constará esta obra de 6 ó 7 tomos en 1 2.0 Se está imprimiendo el 4.0, y se vende el 3.0 con los dos anteriores á 8 rs. cada uno en rústica en las librerías ce Castillo, frente á</t>
  </si>
  <si>
    <t>escrita en Francés, á la mitad del año de 1803, por Pedro Blanchard : traducida a-1 castellano por D. Ignacio García Malo: tomo 4.0 , en que concluye la épocá de los varones ilustres de la antigüedad, y de otros que florecieron hasta el renacimiento de las letras y de las artes en Europa. Constará es</t>
  </si>
  <si>
    <t>García Panes, Diego</t>
  </si>
  <si>
    <t>Diego García Panes</t>
  </si>
  <si>
    <t>la compañía de caballeros Cadetes. S. M. ha promovido á Brigadier de infantería de sus exércitos á Don Diego García Panes , Teniente de Rey que ha sido de la plaza de Veracruz, y agregado actualmente en clase de Coronel en el estado mayor de la misma plaza. El Rey se ha servido "conferir la Sargentía</t>
  </si>
  <si>
    <t>García Paredes, Juan</t>
  </si>
  <si>
    <t>Juan García Paredes</t>
  </si>
  <si>
    <t>llería se ha servido el Rey promover á Gefes de Brigada á los Capitanes primeros D. Isidro la Mata, D. Juan García Paredes y D. Manuel Arnaiz; y á Capitanes primeros á los segundos D. Francisco del Mazo,D. Francisco de Ley va y D. Vicente Ferrandez. En el Real cuerpo de Ingenieros del exército ha promovid</t>
  </si>
  <si>
    <t>García Piña, Luis</t>
  </si>
  <si>
    <t>Luis García Piña</t>
  </si>
  <si>
    <t>z, D. Francisco Campo Redondo, D. Antonio Rodriguez de Toro, D. Amadeo de Mora, D. ídatias Moñino y D. Luis García Piña. En los regimientos provinciales se ha servido S. M. promover á Capitán de granaderos del de Ecija al de fusileros del de Ciudad-Real Don Antonio Andrés Alcalá Galiano : á Capitan</t>
  </si>
  <si>
    <t>García Plaza, Isidoro</t>
  </si>
  <si>
    <t>Isidoro García Plaza</t>
  </si>
  <si>
    <t>res. viuda de Escolar y Noriega é hijo. En Granada......... D. Francisco de Unzaga. En Guadalaxara. D. Isidoro García Plaza. En Jaén................. D. Pedro y D. Juan Esponera. En León.............. D. Pedro Gil de Tejada. En Málaga......... D. Juan Ximeno. : En Maltón......... . Doña Catalina Germán</t>
  </si>
  <si>
    <t>.. Sres. viuda de Escolar y Noriega ¿ hijo* En Granada........ D. Francisco Unzaga. En Guadalaxara. D. Isidoro García Plaza. En Jaén................D. Pedro y D. Juan Esponera. En León........... D. Pedro Gil de Tejada. En Malaga."".... D. Juan Ximeno. En Mahon.............Doña Catalina Germán y Hugald</t>
  </si>
  <si>
    <t>García Prieto, Tomás</t>
  </si>
  <si>
    <t>Tomás García Prieto</t>
  </si>
  <si>
    <t>orrespondientes posesiones de pastos de invierno y verano. Quien quiera tratar de afuste, acudirá á D. Tomas García Prieto, Procurador de ios Reales Consejos, que vive calle de Jos Jardines, núm. rg, quarto 2.0, casa de baños del Cura, que enterará de las condiciones con que deben enagenarse. A volunt</t>
  </si>
  <si>
    <t>García Puerta, Simón</t>
  </si>
  <si>
    <t>Simón García Puerta</t>
  </si>
  <si>
    <t>rs.; y otra, calle de Infantes, en 138$ rs. Quien quisiere hacer postura á ellas acuda ante el Sr. D. Simón García Puerta , Intendente general de dicho Real sitio, por la escribanía principal de él, en el término . de. 30 dias desde el dia de su publicación ; en inteligencia que cumplidos', ai terce.</t>
  </si>
  <si>
    <t>García Retamero, Bartolomé Ramón</t>
  </si>
  <si>
    <t>Bartolomé Ramón García Retamero</t>
  </si>
  <si>
    <t>amente á los hijos del pueblo. Los sugetos que quisieren hacer oposición dirigirán sus memoriales á D. Bartolomé Ramón García Retamero , Escribano de Ayuntamiento y de dicha fundación, advirtiéndose que el 18 de Junio próximo se empezarán las oposiciones. Los subscriptores al Discurso sobre la historia universal</t>
  </si>
  <si>
    <t>García Rodríguez ALbarran, Juan</t>
  </si>
  <si>
    <t>Juan García Rodríguez ALbarran</t>
  </si>
  <si>
    <t>, Canónigo de la colegial de Junquera de .Ambia: para otra de la de Coria, vacante por promoción de D. Juan García Rodríguez ALbarran á la Dignidad de Arcediano titular de la propia catedral, á D. Josef Hernández, Cura Párroco de la villa de Galisteo en aquella diócesis: para otra de la de Canaria, vacante por p</t>
  </si>
  <si>
    <t>García, Andrés</t>
  </si>
  <si>
    <t>Andrés García</t>
  </si>
  <si>
    <t>...... .. Andrés García.................... Nava-hermosa.......... .'...... ’ 141. •25 Matías Hidalgo... ...„.-......‘..ubAlmagroJ....... 141Í.25 Josef Gómez..</t>
  </si>
  <si>
    <t>García, Antonio</t>
  </si>
  <si>
    <t>Antonio García</t>
  </si>
  <si>
    <t>por el Dr. D. Juan Clavero. Se hallará en la librería de Raiíz, calle de la Cruz, y en Jaén casa de D. Antonio García. Institución eclesiástica del SS. P. Benedicto xrv sobre el patrocinio de S. Antonio Abad para guardar la salud de los animales, con Ja bendición acostumbrada. Se hallará en la im</t>
  </si>
  <si>
    <t>141-25 Antonio García................... Torrelaguna.. ........... I4«- *5 ID- DE XA FRAGATA SANTA Tomas Diaz........ ............... Almunia.................. •..... 141 • 25</t>
  </si>
  <si>
    <t>García, Dionisio</t>
  </si>
  <si>
    <t>Dionisio García</t>
  </si>
  <si>
    <t>dante,graduado deCapitan, D. Juan Darailh: á Portaestandartes en el de Farnesio al Sargento primero D. Dionisio García, y al Cadete D. Benigno Aréval¡o,; y en el de Cazadores del Rey á Teniente al Alférez D. Jacinto de Irisarri. El Rey se ha servido conferir ia Tenencia Coronela del regimiento de</t>
  </si>
  <si>
    <t>García, Francisco Gerónimo</t>
  </si>
  <si>
    <t>Francisco Gerónimo García</t>
  </si>
  <si>
    <t>. Jayme Linart: á Ayudante al Teniente D. Josef Pardo: á Tenientes de granaderos á los de fusileros D. Francisco Gerónimo García y D. Mateo de la Dehesa: á Tenientes á los Subtenientes de granaderos D. Josef Aristizabal y D. Nicolás Pimpin; y á los de fusileros D. Josef Lisola, D. Antonio Luna y D. Josef María</t>
  </si>
  <si>
    <t>García, Ignacio</t>
  </si>
  <si>
    <t>Ignacio García</t>
  </si>
  <si>
    <t>olomé de las Abier­ Ignacio García..................... Puebla de Montalban..... 14 tas............................. . 141-25 Gregorio Saez.—</t>
  </si>
  <si>
    <t>García, Jacinto</t>
  </si>
  <si>
    <t>Jacinto García</t>
  </si>
  <si>
    <t>ente de granaderos D. Josef Recacha: en el de Cantabria Ayudantía al Teniente, graduado de Capitán, D. Jacinto García: en el de América Tenencia ál Subteniente de granaderos D. Juan Fernandez : en el de Extremadura Tenencia al Subteniente de granaderos D. Josef Tirado: en el de Ordenes Militares</t>
  </si>
  <si>
    <t>D. Mariano Acedo Rico y D. Rafael Goycochea; y en el de Cantabria al Ayudante, graduado de Capitán, D. Jacinto García, como también Tenencia en el de Ultonia al Subteniente de granaderos D. Carlos Montignani. S. Al. se ha servido nombrar Tenientes Coroneles dei Real cuerpo de Artillería al Sargen</t>
  </si>
  <si>
    <t>Capitanes 4* Granaderos de los de Laredo, Segovia y Cuenca á los de fusileros Don Bernardo Crespo , D. Jacinto García y D. Francisco Verdejo : a Capitanes de fulleros de los de Bujalance y Ciuuad-Rcal a los Tenientes Don Pedro Melgar, D. Dionisio Antelo y D. Luis Morales: a Tenientes de granaderos de</t>
  </si>
  <si>
    <t>García, Juan Bautista</t>
  </si>
  <si>
    <t>Juan Bautista García</t>
  </si>
  <si>
    <t>primera silla de la catedral de Segorve, vacante por fallecimiento de D. Claudio Narciso Milano, á D. Juan Bautista García, electo Chantre y Canónigo de la catedral de Sigiienza: para una Comensalía de la colegial de Sta. Ana de la ciudad de Barcelona, afecta al oficio de Sochantre, vacante por renunc</t>
  </si>
  <si>
    <t>y Canongía de la de Sigüenza, que han quedado vacantes por promoción al Deanato de la de Segorve ae D. Juan Bautista García, á D. Francisco Ayuso Fuentes, Cura párroco de la villa de Galve , en aquella diócesis : para la Prestamera de Enciqasola, en el arzobispado de Sevilla ,, yacante por. fallecimien</t>
  </si>
  <si>
    <t>García, Juan Félix</t>
  </si>
  <si>
    <t>Juan Félix García</t>
  </si>
  <si>
    <t>gía dé la iglesia primada ' de Toledo , vacante £or fallecímiehto de D. Jacinto Jóset de Molina , í D. Juan Félix García , Racionero de ella: para otra'dé la propia iglesia, vacante por muerte de D. Francisco Acedo y Torres , á D. Domingo Alonso Rodríguez, Gura párroco de la villa de Camarina, en la</t>
  </si>
  <si>
    <t>García, Mateo</t>
  </si>
  <si>
    <t>Mateo García</t>
  </si>
  <si>
    <t>........... J41..2S Mateo García....................... Varqucles........................ i4,-*5 Vicente Perez...........—....... Aldea nueva................... 141 •25 Facundo N.ivazquez............ An-lo</t>
  </si>
  <si>
    <t>García, Pedro</t>
  </si>
  <si>
    <t>Pedro García</t>
  </si>
  <si>
    <t>5^2 tallón de Voluntarios de Valencia á D. Pedro García, Teniente del mismo cuerpo. En América. El Rey se ha dignado conferir el Gobierno de Santa Marta, en el Vireynato del Nuevo Reyno de Granada, al Coronel Don Víctor Salcedo, Gobern</t>
  </si>
  <si>
    <t>rancisco Calvo, D. Luis Perez del Camino, D. Gonzalo Gómez, D. Antonio Quintano, D. Josef Montaibo, D. Pedro García, Don j» an de San Llórente, D. Manuel Pardo Rivadeneyra, D. Josef de Miranda, D.. Francisco Díaz Melendez, D. Josef Aramburu, ¿.Francisco Echezarreta, D. Pablo Bustamante, D. Domi</t>
  </si>
  <si>
    <t>García, Vicente</t>
  </si>
  <si>
    <t>Vicente García</t>
  </si>
  <si>
    <t>S. Antonio Abad; y para el Priorato rural de Torre de Garci Fernandez, en el de Jaén, por muerte de D. Vicente García, á D. Antonio Gallardo Pacheco. El Rey se ha servido nombrar Secretario de la Sargentía mayor é Inspección del Real Cuerpo de Guardias de Corps á D. Manuel Kuiz de Villa y Barreda</t>
  </si>
  <si>
    <t>Gardanne, General</t>
  </si>
  <si>
    <t>General Gardanne</t>
  </si>
  <si>
    <t>ispo de Amiens, encargado de arreglar los negocios del clero del Piamonte. Marsella 26de Agosto. El General Gardanne ha sido nombrado Ayo de los pages del Emperador.___Las hermanas hospitalarias han sido instaladas en su establecimiento por el Arzobispo. ,• París 7 de Setiembre. Se ha conseguido</t>
  </si>
  <si>
    <t>Gardener</t>
  </si>
  <si>
    <t>ones, solo con que llegue á tener 500 individuos por legua quadrada. ALEMANIA. Viena 13 de Febrero. Mr. Gardener, Secretario del departamento de la Guerra, ha llegado aquí de Londres con pliegos del Embaxadór de Inglaterra. Está particularmente encargado de asuntos cerca de la corte de Ñapól</t>
  </si>
  <si>
    <t>Garic, Francisco</t>
  </si>
  <si>
    <t>Francisco Garic</t>
  </si>
  <si>
    <t>tenientes de granaderos D. Josef de Hevia , D. Tomas Estch^ y J&gt; Pedro Devcrges, y los de fusileros D. Francisco Garic, graduado , de Teniente, D. Francisco Martínez y D. Josef Alpanseque ; á Subsidíenles de granaderos á los de fusileros D. Josef Declonet, D. Luis Fe^ne j, graduado de Teniente , y</t>
  </si>
  <si>
    <t>Garrido, Miguel</t>
  </si>
  <si>
    <t>Miguel Garrido</t>
  </si>
  <si>
    <t>D. Ramón Antonio Junco; y en los de Irlanda, Astúrias y Borbon á los Cadetes de los propios cuerpos D. Miguel Garrido, D. Diego García de San Pedro y D. Josef Mariano Berard. El Rey se ha servido nombrar para la plaza de Oidor de la Chancillería de Valladolid, vacante por promoción de D. Luis Mar</t>
  </si>
  <si>
    <t>n el regimiento de infantería de la Rey.na Compañía al Teniente de granaderos, graduado de Capitán, Don Miguel Garrido : en el de Zamora Tenencia al Subteniente de granaderos D. Manuel Ordóñez; y en el de Guadalaxara Subtenencia de bandera al Sargento primero de granaderos D. Antonio Delgado. Para</t>
  </si>
  <si>
    <t>Garrido, Pedro</t>
  </si>
  <si>
    <t>Pedro Garrido</t>
  </si>
  <si>
    <t>disciplinadas de infantería de blancos de Valencia 4-en la provincia de Venezuela, á los Tenientes D. Pedro Garrido , de ¡granaderos, D. Vicente Landaeta y D.; Josef Vicente Almarza; á Teuiente.de granaderos al de fusileros D- Josef Lobera j á Tenientes de fusileros á los Subtenientes D. Franci</t>
  </si>
  <si>
    <t>Gartreauxt</t>
  </si>
  <si>
    <t>os. En la noche de aquel día una multitud de negros y mulatos armados entraron en la casa de un tal Mr. Gartreauxt, á quien después de saquearla y robarla, le llevaron fuera de la ciudad, donde le matáron con otros dos----- Al dia siguiente el comandante negro Cerulois publico que los asesinat</t>
  </si>
  <si>
    <t>Garusiani, Juan</t>
  </si>
  <si>
    <t>Juan Garusiani</t>
  </si>
  <si>
    <t>illa de Albacete, vacante por.promocion de D. Felipe Ventura González al Deanato déla de Córdoba, á D. Juan Garusiani. En el regimiento de infantería de Soria se ha servido S. M. promover á Teniente ai Subteniente D. Pedro Palomo; y á Subtenientes de bandera en los del Príncipe y Córdoba á los Sa</t>
  </si>
  <si>
    <t>de ios físicos. En la gazeta del martes próximo pasado, en la Prestamera de Albacete , se ha puesto D. Juan Garusiani, debiendo decir Garisuain. Reflexiones acerc3 de la epidemia que reynó en Cádiz en 1800, y medios de atajar los estragos de una peste. Papel en 4.0 á 4 rs. Se hallará en el despac</t>
  </si>
  <si>
    <t>Gasparini, Francisco</t>
  </si>
  <si>
    <t>Francisco Gasparini</t>
  </si>
  <si>
    <t>o de Coronel, D. Juan O-Donojú; y en el de caballería de Alcántara el de Alférez al Portaestandarte D. Francisco Gasparini. En América. S. M. se ha dignado nombrar Ayudante veterano del regimiento de infantería provincial de México á D. Manuel Villerías, Teniente de granaderos del mismo cuerpo. En el</t>
  </si>
  <si>
    <t>Gástelo, Antonio</t>
  </si>
  <si>
    <t>Antonio Gástelo</t>
  </si>
  <si>
    <t>egimiento de infantería de Valencia Ayudantías á los Tenientes de granaderos, graduados de Capitán, D. Antonio Gástelo y D. Antonio María del Valí; Tenencias á los Subtenientes D. Antonio Marta de Berard y D. Cárlos de Vargas Machuca, este último del extinguido Cuerpo de Ingenieros Cosmógrafos de Esta</t>
  </si>
  <si>
    <t>Gastón, Antonio</t>
  </si>
  <si>
    <t>Antonio Gastón</t>
  </si>
  <si>
    <t>rofesores de esta ciudad. Don Miguel María Ximenez lo aplicó con feliz éxit# al Teniente de Fragata Don Antonio Gastón, en la casa del Señor Marques de Ateos. El ño haberse continuado su aplicación, ha consistido en que presumíamos ser necesario bañar al enfermo en una grande cantidad de aceyte, c</t>
  </si>
  <si>
    <t>Gathrall</t>
  </si>
  <si>
    <t>análisis-del vómito negro que se arroja en el último período de la enfermedad, que publicó el mismo Dr. Gathrall en 1800, con varios experimentos que ofrecen resultados importantes; y se ilustra toda la obra con muchas y copiosas notas, en; las que se añade'brevemente; lo que han observado y o</t>
  </si>
  <si>
    <t>Gatro, Francisco</t>
  </si>
  <si>
    <t>Francisco Gatro</t>
  </si>
  <si>
    <t>es D. Josef de Osorio, de granaderos, graduado de Teniente-, D. Josef Loísel, D. Antonio Caballero, D. Francisco Gatro, D. Narciso Guerra, Don Miguel Cabrera y D. Antonio Hoyos: á Subteniente de granaderos al de fusileros D.JoserArnau: á Subtenientes de Compañía á los agregados Don Joaquín Ruj as,</t>
  </si>
  <si>
    <t>Gaver, Fernando</t>
  </si>
  <si>
    <t>Fernando Gaver</t>
  </si>
  <si>
    <t>tonio Olaguer Feliu. Para el Gobierno militar y político de la plaza de Málaga al Mariscal de Campo D. Fernando Gaver ; y para esta resulta al Brigadier D. Luis'Martínez de Ariza. Para el Gobierno también militar y político de la plaza dé Alicante al Brigadier D. Josef Betegon, Coronel del Real c</t>
  </si>
  <si>
    <t>Gavino Aguilera</t>
  </si>
  <si>
    <t>........... 425.. 6 Gavino Aguilera................. Alcabon......—................... 14 Antonio Prado...,,............... Lugo................................. 141-25 Angel Caballero........</t>
  </si>
  <si>
    <t>Gay-Lussac</t>
  </si>
  <si>
    <t>Domingo, 16 del corriente, subió en un globo :de*de el jardín del Conservatorio de artes y oficios Mr. Gay-Lussac,.compañero cíe.Mr. Biot en su primer viage aerostático. Su viage ha sido muy feliz; ha permanecido en el ay re 6 horas, y ha subido á la altura de mas de S© varas» ■ .españa. ; ;</t>
  </si>
  <si>
    <t>Gayoso, Joaquín</t>
  </si>
  <si>
    <t>Joaquín Gayoso</t>
  </si>
  <si>
    <t>y Ñapóles Tenencias á los Subtenientes Don Miguel de Córdoba y Figueroa, D. Francisco Valluguera , D. Joaquín Gayoso y D. Josef Borlascá; y en el de Zamora Subtenencia de bandera al Cadete D. Tomas Vielsa y Cocon. El Rey se ha servido conceder Subtenencias de bandera en el regimiento de infantería d</t>
  </si>
  <si>
    <t>Gazcon y Molina, Francisco</t>
  </si>
  <si>
    <t>Francisco Gazcon y Molina</t>
  </si>
  <si>
    <t>ViUa.iba. En 3.a fecha. D; Luis de Córdoba y Postigo, D. Juan de Azas, D. Josef Olózága y Travieso, D. Francisco Gazcon y Molina, D. Fernando Bilbao' y Xiinenez \ D. Pedro Notar bar tolo y Bolcgria, Dgíi Antonio González de Socueva, D. Francesco Chacón y valle, D. Gerónimo Obregon y Villa, D. Joaquín Tosque</t>
  </si>
  <si>
    <t>Genaro de Laya</t>
  </si>
  <si>
    <t>a, á D. Tomas Minguez , Medio-Racionero de ella: para otra de la de Palencia, vacante por muerte de D. Genaro de Laya, á D. Francisco Xavier Gallego , Beneficiado de Preste de la villa de Ribas , en aquella diócesis: para otra de la colegial de Alfaro , en el obispado de Tarazona, vacante por pro</t>
  </si>
  <si>
    <t>Genaro Rezabal</t>
  </si>
  <si>
    <t>egimiento de infantería de la Corona al Sargento mayor del de Málaga, graduado de Teniente Coronel, D. Genaro Rezabal: la Sargentía mayor del de Irlanda al Capitán del mismo Cuerpo Conde de Ibeagh: Compañía en el de América al Ayudante, graduado de Capitán, D. Pedro de Tejada: Ayudantía en el de</t>
  </si>
  <si>
    <t>Gencyne, General</t>
  </si>
  <si>
    <t>General Gencyne</t>
  </si>
  <si>
    <t>que se firme por el Grau Señor el arreglo definitivo entre los turcos y los cristianos servios. El General Gencyne, Comandante de los tropas e« la Esclavonía, ha recibido ya permiso de la corte imperial para encargarse de D mediación entre turcos y servios; y como ambos partidos.lo solicitan,</t>
  </si>
  <si>
    <t>General de la Guadalupe, Capitán</t>
  </si>
  <si>
    <t>Capitán General de la Guadalupe</t>
  </si>
  <si>
    <t>o, ingles,, lo que nos hace suponer algunacaecimíentp extraordinario. ^ :1 , Faris 7 de Marzo. . *1 Capitán General de la Guadalupe ha escrita al General Lefebu&gt; Senador, comunicándole. las noticias que en las gazetas inglesas de las Antillas se hanjpublicado acerca del estado do la Francia. También 1? k comun</t>
  </si>
  <si>
    <t>General Decaen y del Contra-Almirante Linois, Capitán</t>
  </si>
  <si>
    <t>Capitán General Decaen y del Contra-Almirante Linois</t>
  </si>
  <si>
    <t>París II de Marzo. Se han recibido noticias circunstanciadas de la isla de Francia. Los pliegos del Capitán General Decaen y del Contra-Almirante Linois contienen los pormenores mas satisfactorios. Toda la esquadra había anclado delante de Pondicheri, á excepción de un buque de transporte que se había quedado atras. Veinte y quatr</t>
  </si>
  <si>
    <t>generale Avoust</t>
  </si>
  <si>
    <t>nador del palacio imperial----- El Condestable presentó á jurar á los Coroneles-generales Avoust y Bessleres, y al General Murat, Gobernador de París. También trae el Monitor un artículo que dice así: Carta de S. M. I. &amp; los Cónsules Cambaceres y Lebrun. Ciudadano Cón</t>
  </si>
  <si>
    <t>generale Bessleres</t>
  </si>
  <si>
    <t>Generale Comandantes</t>
  </si>
  <si>
    <t>cibimos la noticia importante que el Emperador de Austria acaba de mandar á los Generales Comandantes de estas provincias, que envíen á la Dalmacia y á Albania todas las tropas de que puedan disponer. Varios buques han sido embargados para llevar estas tro%</t>
  </si>
  <si>
    <t>A. ' ■- ' • ’ y ■' : * * *' " ' • ' * * ’? Copenhague g de Noviembre. Todos los Generales Comandantes en Dinamarca, Noruega .y en el</t>
  </si>
  <si>
    <t>Generale Mariscales del Imperio Berthíe</t>
  </si>
  <si>
    <t>ores y Mariscales del Imperio Kelierman , Lefevre , Perignon y Serruner. A. los Generales Mariscales del Imperio Berthíe.r, Murar, Moñcey, Massena, Augereau, Berna óotte , Mortier , Ney , Davoust, Bossieres , y á otros oiiciales^de menor graduación___ El dia 22, Su Alteza Serenís</t>
  </si>
  <si>
    <t>Generale St</t>
  </si>
  <si>
    <t>ombate. El exército se portó con gran valor, y se distinguiéron entre otros los Generales St. John y Ware. El Coronel St. Leger, que mandaba la caballería, ha merecido los elogios del General en gefe. Se ignora la pérdida qué padeció el exército en est</t>
  </si>
  <si>
    <t>Geria, Francisco</t>
  </si>
  <si>
    <t>Francisco Geria</t>
  </si>
  <si>
    <t>D. Josef Aliaga; á Subrigadier al Cadete D-Gonzalo Fernandez; a Cadete de número al supernumerario D. Francisco Geria, y á supernumerario al Guardia Don Bernardo Aliaga. ‘ ;iíí1' -'„ El Rey-seliaéérvidb conferir Compañía en él regimiento de infantería de Valencia-ai Ayudante del Provincial de Eci</t>
  </si>
  <si>
    <t>Germán Fernández</t>
  </si>
  <si>
    <t>............ 283-16 Germán Fernandez............. Escalonilla....................... 141..25 Joaquín Vivas......... Linares............................ 141..25 Josef Sierra.......</t>
  </si>
  <si>
    <t>Germán Gutiérrez</t>
  </si>
  <si>
    <t>. 141.25 Germán Gutiérrez.............. Mora....... ............ 141..25 Juan Plaza........................... Paleada............ i............ 141-25 Josef Aguado..........</t>
  </si>
  <si>
    <t>Gerónimo'Vilches</t>
  </si>
  <si>
    <t>i. . *. Consideraciones para ántes y después de la sagrada comunión, escritas por el M. R. P. Mtro. D. Gerónimo'Vilches , del orden de S. Basilio, con el Te Deum laudamus en castellano: segunda edición; en el mismo tamaño y letra que la anterior, y adornada con dos láminas, añadido al fin el diálog</t>
  </si>
  <si>
    <t>Gervasio</t>
  </si>
  <si>
    <t>. D. Torquato Antonio Collado, Teniente Corregidor de esta villa, y por la escribanía del número de D. Gervasio. Fernanda Izquierdo, en el térriiíno de 30 di^s 9 'contados desde el dia de Abril ultimo &gt; con presen— cion que no se admitirá alguna, que por lo ménos cubra la quarta parte del p</t>
  </si>
  <si>
    <t>Gervasio Fernández Izquierdo</t>
  </si>
  <si>
    <t>ora, acuda en el término de 30 dias, contados desde el 2 de este mes, á la escribanía del numero de D. Gervasio Fernandez Izquierdo , donde se admitirán las que se hagan, con la qualídad de que hayan de cubrir por lo menos la quarta parte de dicho remate. La hacienda titulada de Corralejo , término de la villa</t>
  </si>
  <si>
    <t>asignados. Por providencia del referido Sr. D. Torquato Antonio Collado, y escribanía de número de D. Gervasio Fernandez Izquierdo, se cita llama y emplaza a los acreedores de Manuel Ibañez, vecino que fue del lugar de Ge,afe, para que dentro de 50 dias, que por primer término se les señala, contados desde el</t>
  </si>
  <si>
    <t>Gervasio Tomás</t>
  </si>
  <si>
    <t>ago dé la.villa de Béjar , en la mbma diócesis, vacante por fallecimiento de D. Tomas Castellano, á D. Gervasio Tomas -Bonilla ; y para el Medio-Préstamo de S.tq. jpomjhgo de la villa de Milla, en el obispado de.Gattagerjaylvaéinte</t>
  </si>
  <si>
    <t>Gesner</t>
  </si>
  <si>
    <t>a Real, y en la librería de Ximenez, caños del Peral. La muerte de Abel: poema escrito en prosa por Mr. Gesner, traducido al castellano también en prosa, y aumentado con notas: segunda y última edición, revista , corregida nuevamente y enmendada con el mayor cuidado. Se hallará en las libr</t>
  </si>
  <si>
    <t>Gessner</t>
  </si>
  <si>
    <t>de los Reales estudios de S. Isidro. La muerte de Abel, ó el fratricidio, poema en prosa, su autor Mr. Gessner, traducido al castellano, y aumentado con notas: segunda y última edición, revista, corregida nuevamente y enmendada. Esta obra es única en su especie por lo tierno, patético y se</t>
  </si>
  <si>
    <t>Getting</t>
  </si>
  <si>
    <t>on mucha actividad en los preparativos de la carroza destinada para la consagración en el taller de Mr. Getting, maestro de coches de S. M. I. Los diseños de esta soberbia carroza son de Mr. Percier , arquitecto del Emperador,y toda la obra se hace baxo la dirección del General Caulincourt,</t>
  </si>
  <si>
    <t>Gevaltos, Pedro</t>
  </si>
  <si>
    <t>Pedro Gevaltos</t>
  </si>
  <si>
    <t>l R¿y nombrar á D. Juan Francisco Alprtso Caballero, Abogado de sus Re,ales Consejos. El Excmo. Sr, D. Pedro Gevaltos , primar Secretario de Estado y del Despacho, como Superintendente de los Reales Sitios, ha comunicado, con fecha de 6 del corriente, al Excmo. Sr. Presidente de la Junta Suprema</t>
  </si>
  <si>
    <t>Giannini, Pedro</t>
  </si>
  <si>
    <t>Pedro Giannini</t>
  </si>
  <si>
    <t>o militar de Artillería: 5 volúmenes en 4.0 Esta obra, qjie se da ahora al público, la ha compuesto D. Pedro Giannini, profesor i.° que fué de aquel establecimiento, socio de Ja Academia del instituto de Bolonia y de otras Sociedades. En e.te curso se hallan reunidos casi todos los conocimientos</t>
  </si>
  <si>
    <t>Gigante, Gabriel</t>
  </si>
  <si>
    <t>Gabriel Gigante</t>
  </si>
  <si>
    <t>141-25 Gabriel Gigante................... Villa hermosa......... . *4*~25 Bernardo Martin................. . Yepes............................ 141-25 Josef Soler..............</t>
  </si>
  <si>
    <t>Gil de la Cuesta, Manuel</t>
  </si>
  <si>
    <t>Manuel Gil de la Cuesta</t>
  </si>
  <si>
    <t>de la misma , áDoa Juan Bautista Pozo: para otra de la referida Colegiata, vacante por as' censo de D. Manuel Gil de la Cuesta á una de la Catedral de Avila, á D. Vicente Ustariz, Sargento retirado. . El Rex se tía servido conferir en el regimiento de infantería de Málaga Compañía al Teniente de granadero</t>
  </si>
  <si>
    <t>Gil de Ledesma y Seix, Bernardo</t>
  </si>
  <si>
    <t>Bernardo Gil de Ledesma y Seix</t>
  </si>
  <si>
    <t>anco y Yun , D. Pedro Ortiz de Zarate y Ara , D. Juan Bravo de Rivero, D. Josef González de Merino, D. Bernardo Gil de Ledesma y Seix , D. Josef Santiago Arias de Saavedra, Don Ignacio de Cárdenas y Cárdenas, D. Juan Loriga y Reguera, D. [oaquin Aguado y Cañas , D. Ramón Palacio y San Cristóbal, D. Mateo Hernánd</t>
  </si>
  <si>
    <t>Gil de Pareja, Juan</t>
  </si>
  <si>
    <t>Juan Gil de Pareja</t>
  </si>
  <si>
    <t>én, Tuy, Murcia y Lorca, á los Subtenientes D. Marcelino García Riofrio, D. Jacinto Gómez Figueroa, D. Juan Gil de Pareja y D. Josef Genant: la Subtenencia de granaderos del de Bujalance al Subteniente de fusileros D. Juan Josef de Lara; y la de bandera del mismo Cuerpo á D. Juan María de Melgar. El Rey</t>
  </si>
  <si>
    <t>Gil de Taboada, Felipe</t>
  </si>
  <si>
    <t>Felipe Gil de Taboada</t>
  </si>
  <si>
    <t>a de Alcalde de su Real casa y corte, vacante por promoción del Sr. D. Josef Marquina y Galludo , á D. Felipe Gil de Taboada, Oidor de lá Chancillería de Granada : para !a de Oidor, que este dexa, á D. Francisco Leen Bendicho, Alcalde del crimen mas antiguo de la citada Chancillería; y para esta resulta</t>
  </si>
  <si>
    <t>nía. En virtud de Real facultad de S. M. y Sres. del Supremo Consejo de la Cámara, por auto del Sr. D. Felipe Gil de Taboada, del Consejo de S. M., Alcalde de su Real casa y corte, de 21 de Agosto próximo, se manda subastar una casa, sita en la calle angosta de S. Bernardo, niim. 9, manz. 291, la qual s</t>
  </si>
  <si>
    <t>Gil de Tejada, Pedro</t>
  </si>
  <si>
    <t>Pedro Gil de Tejada</t>
  </si>
  <si>
    <t>. Isidoro García Plaza. En Jaén................. D. Pedro y D. Juan Esponera. En León.............. D. Pedro Gil de Tejada. En Málaga......... D. Juan Ximeno. : En Maltón......... . Doña Catalina Germán y Fugalde. ; En Murcia............ Sres. Moreda y Ladalid. En Oviedo..............D. Manuel Rubiano</t>
  </si>
  <si>
    <t>ra. D. Isidoro García Plaza. En Jaén................D. Pedro y D. Juan Esponera. En León........... D. Pedro Gil de Tejada. En Malaga."".... D. Juan Ximeno. En Mahon.............Doña Catalina Germán y Hugalde* En Murcia...........Sres. Moreda y Ladalíd. En Oviedo............ D. Manuel Rubiano. En Pale</t>
  </si>
  <si>
    <t>Gil Fernández, Diego</t>
  </si>
  <si>
    <t>Diego Gil Fernández</t>
  </si>
  <si>
    <t>la casa-posada de S. S* como señalado para executarle en el mejor postor. » Por providencia del Sr. D. Diego Gil Fernandez, del Consejo de S. M., Alcalde de jsu JLeai casa y corte, de ii del cerniente se lian mandado sacar á pública subasta por el lé^miijp ordinario varias tierras , sitas en término d</t>
  </si>
  <si>
    <t>star haber obtenido el permiso de la Asamblea de la misma. L.q participo &amp;c. Por el juzgado d®l Sr. D. Diego Gil Fernandez, del Consejo de S. M., Alcalde de su Real casa y corte, se fian mandado sacar á pública subasta varias tierras, sitas en término del lugar de Carabancfiel de arriba., y son á sabe</t>
  </si>
  <si>
    <t>énos cubra la quarta parte del precio en que se remató dkhá casa. • ■ t . , Por providencia del Sr. D. Diego Gil Fernández, del Consejo de S. M., Al</t>
  </si>
  <si>
    <t>egundo en el batallón de Voluntarios de Navarra ai Teniente D. Félix Perez. Por providencia del Sr. D. Diego Gil Fernandez, del Consejo de S. M., Alcalde de su Real casa y corte, se han mandad® sacar nuevamente á pública subasta varias tierras , sitas en términos de Villaverde y Móstoles , con un sola</t>
  </si>
  <si>
    <t>hacer mejora á la citada alhaja, lo executen por la mencionada escribanía. Por el juzgado del. Sr. D. Diego Gil Fernandez, del Consejo de S. M„, Alcalde de su Real casa y cortease: han mandado sacar á pública, subasta- 8 pedazos de tierra, sitos en término del lugar de Carabanchel de arriba , de cabe</t>
  </si>
  <si>
    <t>r menor; previniéndose está hecha postura á dicha hacienda en 457® rs. Por auto proveído por el Sr. D. Diego Gil Fernandez, del Consejo de S. M. , Alcalde de su Real casa y corte, se han mandado sacar á pública subasta 38 fanecas, 10 celemines y 31 estadales de tierra,sitas en el término del lugar de</t>
  </si>
  <si>
    <t>e leerse sus patentes en las comunes eqüestres, enclavadas en su territorio. Por el juzgado del Sr. D. Diego Gil Fernandez, del Consejo de S.-M., Alcalde de su Real casa y corte, se están subastando varias tierras, sitas en término del lugar de Carabanchel de arriba, y son, á saber : 6 pedazos de tier</t>
  </si>
  <si>
    <t>or su decreto de 20 de Junio, ha aprobado el remate celebrado en 8 del mismo por el juzgado del Sr. D. Diego Gil Fernandez, del Consejo de S. M., Alcalde de su Reai casa y corte, en 7100 rs.., á pagar en vales, de una casa sita en el lugar de Vaüecas, en la plazuela que llaman del Cura, comprehensiva</t>
  </si>
  <si>
    <t>ue no sea en ménos de la cantidad ríe su tasa, acuda á la citada escribanía. Por el juzgado del Sr. D. Diego Gil Fernandez, del Consejo de S. M., Alcalde de su Real casa y corte, se ha rematado en 16 de Junio próximo una tierra, sita en término del lugar de Carabanchel de arriba , por baxo de la ermit</t>
  </si>
  <si>
    <t>tas, ni en ménos cantidad de la en que respectivamente están justipreciadas. Por el juzgado del Sr. D. Diego Gil Fernandez, del Consejo de S. M., Alcalde en su Real casa y corte, se están subastando 17 pedazos de tierra, sitas en término de Carabanchel de arriba, pertenecientes a la memoria de Doña Ma</t>
  </si>
  <si>
    <t>ese á real en el referido despacho de la imprenta Real. Por auto proveído en 28 de Julio por el Sr. D. Diego Gil Fernandez, dej Consejo de S. M., Alcalde de su Real casa y corte, se ha mandado sacar á pública subasta , por término de 30 días, una casa sita en la villa de Trillo, con su cueva, cocedero</t>
  </si>
  <si>
    <t>. Pedro García de la Huerta. Se hallarán en el despacho de la imprenta Real. Por el juzgado del Sr. D. Diego Gil Fernandez, del Consejo de S. M., Alcalde en su Real casa y corte, se han mandado sacar á pública subasta por término de 30 días 14 pedazos de tierra, sitos en término del lugar de Fuenlabra</t>
  </si>
  <si>
    <t>e y escribanía en el término de 20 dias, contados desde el 13 del presente. Por providencia del Sr. D. Diego Gil Fernandez, del Consejo de S. M., Alcalde en su Real casa y corte, de gi de Julio próximo, se han mandado sacar i pública subasta, pcr^ig días mas, 3 pedazos de tierra y un solar, pertenecie</t>
  </si>
  <si>
    <t>el corriente, del Sr. Intendente de esta provincia, se lia aprobado el remate celebrado ante el Sr. D. Diego Gil Fernandez, del Consejo de S. M., Alcalde en su Real casa y corte, en 23 de Julio anterior en la cantidad de la tasa, en vales Reales, y de ellos groo en dinero, de 17 pedazos de tierra sita</t>
  </si>
  <si>
    <t>do del Sr. D. Diego Gil Fernandez, del Consejo de S. M., Alcalde de su Real casa y corte, y escribanía de provincia de D. Juan Antonio Díaz Noriega, las quales son á saber: primeramente una tierra en el prado de l</t>
  </si>
  <si>
    <t>e próximo. * Continúa la venta de fincas de memorias del lugar de Fuenlabrada en el juzgado del Sr. D. Diego Gil Fernandez, del Consejo de S. M., Alcalde de su Real casa y corte , y escribanía de provincia de D. Juan Antonio Díaz Noriega, y son á saber: una tierra al sitio que llaman S. Gregorio el vi</t>
  </si>
  <si>
    <t>de dicho Sr. Teniente. Continua la venta de fincas del lugar de FuenJabrada por el juzgado del Sr. Don Diego Gil Fernandez, del Consejo de S. M. , Alcalde de su Real casa y corte, las quales son á saber: una tierra donde dicen Vaciatroxes, de caber 3 fanegas, 5 celemines, tasada en 2391 rs. 22 mrs. Ot</t>
  </si>
  <si>
    <t>uda ante dicho Sr. Teniente por la escribanía de número de D&gt; Claudio San*. Por providencia del Sr. D. Diego Gil Fernandez, del Consejo de &lt;S.'M., Alcalde de su Real casa y corte, de 10 del presente, se han mandado sacar á públr¿ ca subasta, por 30 dias, diferentes ñucas pertenecientes á la memoria fu</t>
  </si>
  <si>
    <t>S. Lorenzo en la tienda del Rubio; y en Cádiz en casa de D. Manuel Navarro. Por providencia del Sr. D. Diego Gil Fernandez, del Consejo de S. M., Alcalde en su Real Casa y Corte, de 24 de Setiembre, se han mandado sacar á pública subasta por término de 30 dias, contados desde el 27 del mismo, varias t</t>
  </si>
  <si>
    <t>imiento de que en su defecóte» les parará el perjuicio que haya lugar. V ' * Por el juzgado del Sr. D. Diego Gil Fernandez, del Consejo de; S. M., Alcalde de su Real Casa y Corte , se están subastando varias fincas sitas en término del lugár de Fuenlabrada, y son á saber: una tierra, de caber 17 faneg</t>
  </si>
  <si>
    <t>os de que pasados sin haberlo hecho, les parara el perjuicio que haya lugar: Por el juzgado del Sr. D. Diego Gil Fernandez, del Consejo de S. Mi, Alcalde en su Real Casa y Corte, se está subastando una casa sita cn la villa de Trillo, inmediata al rio que llaman de Cifuentes , con pajar , cuba y tinaj</t>
  </si>
  <si>
    <t>, y en Madrid á L&gt;. Juan Gonzalo López, del comercio, puerta de Guadalaxara. Por el juzgado del Sr. D. Diego Gil Fernandez, del Consejo de S. M., Alcalde de su Real Casa y Corte, se están subastando varias tierras sitas en término del lugar de FuenJabrada , pertenecientes á varias memorias, las quales</t>
  </si>
  <si>
    <t>o de 2a dias contados desde el 22 del corriente. En 20 de Setiembre próximo, por el juzgado del Sr. D. Diego Gil Fernandez-,, del Consejo de S. M., Alcalde en su Real Casa y Corte, se remataron 6 pedazos de tierra, sitas en término de Carabanchel de arriba, de caber 17 fanegas,, 7 celemines, en 19^ rs.</t>
  </si>
  <si>
    <t>Gil Izquierdo</t>
  </si>
  <si>
    <t>............ ,4I"25 Gil Izquierdo....................... Campino alto................. *4*~25 Manuel Santos......... Villa de Olvigo............. 141-25 Tomas Alamo......................</t>
  </si>
  <si>
    <t>Gil Josef Pacot</t>
  </si>
  <si>
    <t>Joaquin Horruitiner, de granaderos, y D. Esteban Menocal: á Teniente de granaderos ai de fusileros D. Gil Josef Pacot: á Tenientes ¿ los Subtenientes D. Manuel Vázquez , Don Francisco Acosta y D. Ramón Castellanos, los dos últimos de granaderos: á Subtenientes de granaderos á los de fusileros D.</t>
  </si>
  <si>
    <t>Gil Linares, Lucas</t>
  </si>
  <si>
    <t>Lucas Gil Linares</t>
  </si>
  <si>
    <t>9 En el batallón de infantería ligera de Tarragona $ £). Alateo Canéllas: en ei segundo de Aragón á D. Lucas Gil Linares:^ fL de Voluntarios de Valencia al Cadete dei batallón segundo de Bi^-celloiaa D. Francisco de Paula García de Luna. Asimismo se ha servido el Rey promover á ^ ,Jjtenientes á los</t>
  </si>
  <si>
    <t>Gil Sáenz</t>
  </si>
  <si>
    <t>os Capitanes primeros D. Cayetano Saqueti, y D. Diego Salido; y á Capitanes primeros á los segundos D. Gil Saenz deTeiada,D. Josef Hidalgo, y D. Francisco de Vargas. También ha conferido S. M. Ayudantía en el regimiento de caballería de España, ccravo de línea, al Teniente D. Cayetano Salcedo;</t>
  </si>
  <si>
    <t>Gil, Benito</t>
  </si>
  <si>
    <t>Benito Gil</t>
  </si>
  <si>
    <t>tonio Gómez; y en dicha ciudad ant,e el Sr.jGqbermdor^ilitar y Corregidor de ella, por el oficio de D. Benito Gil,y Nogues&gt; en él término de 30 dias, contados desde el 17 de Setiembre, que se admitirá, no siendo en ménos cantidad que la de su tasación. 7 D. Pedro Giroud de Villette, adórn?sta</t>
  </si>
  <si>
    <t>Gil, Félix</t>
  </si>
  <si>
    <t>Félix Gil</t>
  </si>
  <si>
    <t>.......... 283.. 16 Félix Gil.............................. A randa.......................... 141..25 Blas Opeña , id.................... Turzbuena............ . ...... 283..16 M inuel Izquierdo.................</t>
  </si>
  <si>
    <t>Gil, Isidoro</t>
  </si>
  <si>
    <t>Isidoro Gil</t>
  </si>
  <si>
    <t>ey se ha servido conceder en el Regimiento de infantería de la Goror a Tenencias á los Subtenientes D. Isidoro Gil y D. Josef Manjon: en el de Navarra Subtenencia de bandera al Cadete del de Reales Guardias Walonas D. Agustín Graset, Conde de Graset: en el de América</t>
  </si>
  <si>
    <t>Gil, Ramón</t>
  </si>
  <si>
    <t>Ramón Gil</t>
  </si>
  <si>
    <t>........... 141..25 Ramón Gil....................... O,os negros...................... 141..25 \ntonio Palomino........ ...... Acebron.......................... 141..25 Mmuel Perez........................ O ejo</t>
  </si>
  <si>
    <t>Gilman, Antonio</t>
  </si>
  <si>
    <t>Antonio Gilman</t>
  </si>
  <si>
    <t>s académicos D. Rodrigo Tavira, D. Juan Bautista Ceraini, D. Ignacio Empacan, D.. Juan de Cevallos, D. Antonio Gilman,, Cadete de Reales Guardias Walonas, y D. Fernando Adaiúde Yárza-; al seminarista mayor Don Iñigo Ortes de Veíasco , su hermano , el gefe de sala D. Josef Oríes de . Velas&gt;co , lo</t>
  </si>
  <si>
    <t>Gilot, General</t>
  </si>
  <si>
    <t>General Gilot</t>
  </si>
  <si>
    <t>Nanci 6 de Setiembre. Él Gran Canciller de la Legión de honor ha escrito una carta muy expresiva al General Gilot, Comandante de la 4.a división, avisándole de órden de S. M. I. que le remitía las insignias.de la Legión para ios miembros agraciadosque están baxo Ja jurisdicción de su mando. E</t>
  </si>
  <si>
    <t>Gines Chicó de Güzman</t>
  </si>
  <si>
    <t>I163 Valencia al Cadete D. Gines Chicó de Güzman: en el de Irlanda ai Cadete de las Compañías fixas de Melilla D. Francisco Martin: en el de Ultonia al Cadete del ñxo de Ceuta D. Miguel Duarte; y en el de la Princesa al Cadete d</t>
  </si>
  <si>
    <t>Girón, Vicente</t>
  </si>
  <si>
    <t>Vicente Girón</t>
  </si>
  <si>
    <t>e ha servido nombrar para la vara de Alcalde mayor de la ciudad de Almuñecar y villa de Salobreña á D. Vicente Girón: para la de la villa de Fiñana á D. Joaquin Castillo y de Montanar: para la de Alcalde mayor Teniente general del Señorío de Vizcaya, con residencia en la villa de Guernica, á D.</t>
  </si>
  <si>
    <t>Gironda y Blanco, Juan Félix</t>
  </si>
  <si>
    <t>Juan Félix Gironda y Blanco</t>
  </si>
  <si>
    <t>ro de la misma: para la de Arcediano de Alcántara de la catedral de Coria, vacante por promoción de D. Juan Félix Gironda y Blanco á Canónigo de la catedral de León, á D. Domingo Marques,Cura Rector del lugar de Aldea del Cano, de la propia diócesis: para el Beneficio simple servidero de la parroquial del lug</t>
  </si>
  <si>
    <t>Giroud de Villette, Pedro</t>
  </si>
  <si>
    <t>Pedro Giroud de Villette</t>
  </si>
  <si>
    <t>dos desde el 17 de Setiembre, que se admitirá, no siendo en ménos cantidad que la de su tasación. 7 D. Pedro Giroud de Villette, adórn?starde Casa 'y Cámara dé S. M., y dueño de la^Real fábrica de papeles pintados,establecida en esta Corte, y situada al lado del convento de las Sras. Comendadoras de Santia</t>
  </si>
  <si>
    <t>Gisper, Bartolomé</t>
  </si>
  <si>
    <t>Bartolomé Gisper</t>
  </si>
  <si>
    <t>n Cortada: para una Canongía titulada de la Escribanía de la colegial de Pons, diócesis de Urgel, á D. Bartolomé Gisper : para el Beneficio , baxo la invocación de S. Antonio Abad, unido con otros dos de la catedral de Urgel, á D. Josef Mariano Morera: para otro de la misma catedral, baxo la invoca</t>
  </si>
  <si>
    <t>Giustiniani, Príncipe</t>
  </si>
  <si>
    <t>Príncipe Giustiniani</t>
  </si>
  <si>
    <t>Mayo. - Mr. Luciano Bonaparte se halla actualmente en las haciendas de Bassano, que ha comprado al Príncipe Giustiniani, cuyo palacio y galería son magníficos. Dicen que se ocupa en dirigir las labores agrícolas de esta hermosa propiedad. Han arcabuceado aquí últimamente un bandido famoso, que ha m</t>
  </si>
  <si>
    <t>Gjrcia, Matías</t>
  </si>
  <si>
    <t>Matías Gjrcia</t>
  </si>
  <si>
    <t>141-25 Matías Gjrcia....................... Tarazona—........................ 14 Antonio Caries.................... Reus......................... 141-25 Juan Hernández..</t>
  </si>
  <si>
    <t>Glarcb, Capitán</t>
  </si>
  <si>
    <t>Capitán Glarcb</t>
  </si>
  <si>
    <t>tuviéramos que tirar ni un cañonazo. . El Capitán Lewis, Secretario particular del Presidente, y el Capitán Glarcb , han pasado últimamente por Tennesée , volviendo á subir el Misisipí para examinar el territorio menos conocido de la Luisiana. Llevan nna escolta de 20 soldados vestidos de caza</t>
  </si>
  <si>
    <t>Glenbervié, Lord</t>
  </si>
  <si>
    <t>Lord Glenbervié</t>
  </si>
  <si>
    <t>son’ Lord Castlereagh, el Duque deTortland, los Lores Hawkesbury, Cainb-, den., Harrowby, Mr.Pitt, Lord Glenbervié, Mr. Wallace, y Lord Dunlo. — También ha nombrado S. M. caballero de la orden del Baño á Mr. Arthur Paget-, su Enviado extraordinario en la corte de Viena. Dícese que Mr. Forster</t>
  </si>
  <si>
    <t>Globig</t>
  </si>
  <si>
    <t>perial, y del Conde de Stadton* Ministro de Bohemia cerca de la Dieta, por parte de la Austria;, de Mr. Globig, Ministro de Saxonia en la Dieta, por Saxonia** del Barón de Atbini, Ministro directoriai de la Dieta* por el Elector Archi-Cánciller, y de Mr. Otto de Gemmingen, Ministro del Ele</t>
  </si>
  <si>
    <t>Gobernador Bekir-Baxá</t>
  </si>
  <si>
    <t>cera parte de aquel pais, no habiendo podido llegar á tiempo de im-&gt; pedirlo el Gobernador Bekir-Baxá. Dícese que el Rey de Suecia irá pronto á Munich y á Viena; pero lo cierto es, que S. M. no ha salido todavía de Carlsruhe. El principal trabajo en que se ocup</t>
  </si>
  <si>
    <t>Gobernador Collius</t>
  </si>
  <si>
    <t>ta, -llegado de la Nueva^Gáles meridional, se han recibido pliegos del Teniente Gobernador Collius;, con fecha de Marzo, en que da cuenta de haber encontrado á su llegada al Puerto Felipe aquel parage desprovisto de todo lo necesario para establecer allí una</t>
  </si>
  <si>
    <t>Gobernador Conde</t>
  </si>
  <si>
    <t>experimentado en algunas provincias del Reyno excitáron el zelo del Excmo. Sr. Gobernador Conde ele Montarco á poner con tiempo en consideración del Consejo este importantísimo asunto, con todas las ideas y providencias convenientes á la internación y circu</t>
  </si>
  <si>
    <t>Gobernador Juan Jacobo Dessalines</t>
  </si>
  <si>
    <t>ridades siguientes: Después de promulgada la proclama de i.° de Enero, mando el Gobernador Juan Jacobo Dessalines hacer una lista de todos los blancos, con distinción de edades y sexós, é indicando sus domicilios. Resulto haber mas de 1 700 en el Cabo, 1200 en los Cayos, y</t>
  </si>
  <si>
    <t>Gobernador Kuzanzi-Baxá</t>
  </si>
  <si>
    <t>el Gobernador pasado Hassan-Baxá; Bekir, Plenipotenciario déla Puerta; el nuevo Gobernador Kuzanzi-Baxá, y Sc.liman-Baxá. Este último tiene el encargo de traer á la obediencia á Muss-Agá y á sus partidarios, quienes, después de haber efectuado una irrupción en la</t>
  </si>
  <si>
    <t>Gobernador North</t>
  </si>
  <si>
    <t>lecimientos ingleses , y de haber estos dado lugar ¿algunas violencias &amp; c., el Gobernador North ha proclamado la ley marcial en toda la isla de Ceylan, excepto en Columba. Escriben de la isla de la Madera, el 15 de Febrero, que á eso de los tres quartos p</t>
  </si>
  <si>
    <t>Gobernador Nugent</t>
  </si>
  <si>
    <t>.__ Aun no se ha restituido á la Jamayca la persona que envióA Santo Domingo-el Gobernador Nugent. Escriben de Deal que está de vuelta allí el General Dundas,que fué'á bordo 'de la fragata Inmortalidad á examinarlas costas inmediatas á Boloña. -Luego que ll</t>
  </si>
  <si>
    <t>Gobernador Nungent</t>
  </si>
  <si>
    <t>colonos. Con este motivo, y juzgando esta comunicación como muy importante, el1 Gobernador Nungent ha enviado una persona á informarse mas por menor del estado de ia isla, 6 para facilitar lo propuesto por el gobierno independiente de Santo Domingo.__ Creemo</t>
  </si>
  <si>
    <t>Gobernador Político y Militar</t>
  </si>
  <si>
    <t>discípulos, con el correspondiente permiso del Sr. Marques de la Cañada Ibañez, Gobernador Político y Militar de esta plaza, presentó el día 9 del corriente en la casa capitular 23 de sus alumnos de muy corta edad: á presencia de un respetable concurso principió uno de los</t>
  </si>
  <si>
    <t>Gobernador Presidente</t>
  </si>
  <si>
    <t>n destinadas para los sobresalientes; y usando de la regla de equidad dicho Sr. Gobernador Presidente, determinó se sorteasen entre los actuantes, porque todos eran acreedores á premio; pero les cupo eii suerte á Don Mariano Molina, D. Josef Alamillo, D. Josef</t>
  </si>
  <si>
    <t>Gobernador Steinbell</t>
  </si>
  <si>
    <t>iores, á presencia del Consejero de Estaco Kermes, Gobernador civil, y del Vice Gobernador Steinbell, del Mayor General Banakowskjt, del Mayor Kutkin, del Rector del Seminario ce S. Miguel, y de un numeroso concurso, compuesto de la nobleza, clero, comercio y</t>
  </si>
  <si>
    <t>Godoy y Vilches, Tomás</t>
  </si>
  <si>
    <t>Tomás Godoy y Vilches</t>
  </si>
  <si>
    <t>de la Iglesia Metropolitana de Charcas, vacante por fallecimiento de D. Agustín Salinas, al Chantre D. Tomas Godoy y Vilches: para la Chantría ai Tesorero D. Juan Manuel Berdeja; y para la Tesorería á D. Matias de Terrazas, Canónigo Magistral: para la Canongía Penitenciaria de la misma Metropolitana á D</t>
  </si>
  <si>
    <t>Godoy, Francisco</t>
  </si>
  <si>
    <t>Francisco Godoy</t>
  </si>
  <si>
    <t>a junta. Y en su conseqiiencia se sirvió adjudicar los 3 premios may ores de á 5 5 pesos cada uno á D. Francisco Godoy, D. Francisco Bercial y D. Juan Baeza; y los 3 segundos de á 35 pesos á D. Miguel Salgado , D. Francisco Martin</t>
  </si>
  <si>
    <t>Goiñez Valbuena, Francisco</t>
  </si>
  <si>
    <t>Francisco Goiñez Valbuena</t>
  </si>
  <si>
    <t>la catedral de Salamanca-, vacante por fallecimiento de D. Francisco'Estanislao Montero Gorj'on, á D. Francisco Goiñez Valbuena, con retención de*la Canongía que obtiene en la misma catedral*, para la Dignidad de Pr ior de la colegial de S. Hipólito de Córdoba, vacante por muerte de D. Diego Cañete, á D. J</t>
  </si>
  <si>
    <t>Golfín, María</t>
  </si>
  <si>
    <t>María Golfín</t>
  </si>
  <si>
    <t>la santa general Inquisición, se subasta la hacienda, perteneciente á su Real fisco, denominada de Doña María Golfín, que comprehende en la villa de Cáceres, provincia de Extremadura, 24 quartos ó porciones de heredad de cultivo y pasto, su cabida 137 fanegas en sembradura, tasadas en venta por</t>
  </si>
  <si>
    <t>Gome, Jacinto</t>
  </si>
  <si>
    <t>Jacinto Gome</t>
  </si>
  <si>
    <t>cuerpo D/Gregorio del Castillo; y Tenencia en el de Isiavarra ai subteniente de -.grapaderos de él D. Jacinto Gome^ de xirgi.e^ o. ■ En los regimientos provinciales ha ascenqido S.:M. a^Capitanes de los de Si-ienza y Laredo á los Tenientes D. Alfonso dei Bado y D. ctntonio ffamon de la Guerra</t>
  </si>
  <si>
    <t>Gómez Cornejo, Juan</t>
  </si>
  <si>
    <t>Juan Gómez Cornejo</t>
  </si>
  <si>
    <t>a los Beneficios de Arrancacépas y Viilalvilla, en el mismo obispado de Cuenca, por haber fallecido D. Juan Gómez Cornejo, á D. Francisco Checa y Ortega, Cura de S. Pedro de Paiunches, en el propio obispado, á fin de que pueda mantener un Teniente que le ayude al desempeño de su ministerio * para el</t>
  </si>
  <si>
    <t>Gómez de Cos, Francisco</t>
  </si>
  <si>
    <t>Francisco Gómez de Cos</t>
  </si>
  <si>
    <t>a servido S. M. nombrar para una plaza de Agente del número de Indias, vacante por fallecimiento de D. Francisco Gómez de Cos, á D. Ulpiano de la Carrera. En América. El Rey se ha servido nombrar para el Obispado de Sta. Marta, vacante por fallecimiento de Fr. Eugenio Sesé , á Fr. Miguel Sánchez Cernido,</t>
  </si>
  <si>
    <t>Gómez de Meneses, Manuel Alexo</t>
  </si>
  <si>
    <t>Manuel Alexo Gómez de Meneses</t>
  </si>
  <si>
    <t>tiempo de que se otorgue la correspondiente escritura. Los pretendientes remitirán sus memoriales á D. Manuel Alexo Gómez de Meneses y D. Julián Josef Tudela, comisionados por el Ayuntamiento y Junta de diputación generalen inteligencia, de que se proveerá la plaza para el día 15 de Febrero del corriente año. Diser</t>
  </si>
  <si>
    <t>Gómez del Mercado, Vicente</t>
  </si>
  <si>
    <t>Vicente Gómez del Mercado</t>
  </si>
  <si>
    <t>rtínez, D. Cristóbal del Solar de Celis, D. Luis Pecoso, D. Fernando Mateos, y al Capitán reformado D. Vicente Gómez del Mercado: á Tenientes en los de Sevilla y Xerez á los Subtenientes D. Josef María Martínez y D. Mariano Rodríguez: á Subtenientes de granaderos en los de Eeija y Avila á los de fusileros D</t>
  </si>
  <si>
    <t>Gómez Falcon, Vicente</t>
  </si>
  <si>
    <t>Vicente Gómez Falcon</t>
  </si>
  <si>
    <t>do nombrar pára uná Canongía de la Colegial de Soria, Diócesi de Osma, vacante por fallecimiento de D. Vicente Gómez Falcon, á D. Juan Antonio Ruiz, Racionero de ella: para una Ración de la Catedral de Canaria, vacante por muerte de D. Domingo Gutiérrez de Frias, á D. Domingo García Abreu , Cura del lu</t>
  </si>
  <si>
    <t>Gómez Figueroa, Jacinto</t>
  </si>
  <si>
    <t>Jacinto Gómez Figueroa</t>
  </si>
  <si>
    <t>s de fusileros de ios de Jaén, Tuy, Murcia y Lorca, á los Subtenientes D. Marcelino García Riofrio, D. Jacinto Gómez Figueroa, D. Juan Gil de Pareja y D. Josef Genant: la Subtenencia de granaderos del de Bujalance al Subteniente de fusileros D. Juan Josef de Lara; y la de bandera del mismo Cuerpo á D. Ju</t>
  </si>
  <si>
    <t>Gómez García, Luis</t>
  </si>
  <si>
    <t>Luis Gómez García</t>
  </si>
  <si>
    <t>ciudad, en la iglesia de la Real universidad literaria de ella, presentó un niño de 9 años llamado D. Luis Gómez García, sordo-mudo de nacimiento,y con el ojo izquierdo sin vista a causa de las viruelas, á quien ha 6 meses que enseña , para ser examinado á presencia del Dr. D. Miguel de Vargas Fern</t>
  </si>
  <si>
    <t>Gómez Mayoral, Juan</t>
  </si>
  <si>
    <t>Juan Gómez Mayoral</t>
  </si>
  <si>
    <t>rpo de Ingenieros Cosmógrafos : para otra de la colegial de S; Hipólito de Córdoba * por ascenso de D. Juan Gómez Mayoral á la Dignidad de Prior de ella , i D. Juan Antonio de. Castro y Baena, Curá déla parroquia de S..Salvador y Sto. Domingo de aquella ciudad: para el medio Beneficio de la Villa de</t>
  </si>
  <si>
    <t>Gómez Mayoral, Juan Ramón</t>
  </si>
  <si>
    <t>Juan Ramón Gómez Mayoral</t>
  </si>
  <si>
    <t>gnidad de Pr ior de la colegial de S. Hipólito de Córdoba, vacante por muerte de D. Diego Cañete, á D. Juan Ramón Gómez Mayoral, Canónigo de la misma, con dimisión *de la Canóñgíá: para úna Canongía de la propia colegial ,* vacante por'promoción* dé D. Josef Antonio Priego á una de la catedral de Málaga, á</t>
  </si>
  <si>
    <t>Gómez Négiete, Pablo</t>
  </si>
  <si>
    <t>Pablo Gómez Négiete</t>
  </si>
  <si>
    <t>villa de Sta. Olalla , en el'mismo arzobispado, vacaiites por fallecimiento de D. Josef Madrigal, á D. Pablo Gómez Négiete : para el Beneficio Préstamo' del lugar de Villarmeró, en eí arzobispado de Burgos * vacante por muerte de D. Diodoro Salamanca , á D. Alexcr Accves: para el Beneficio simple de l</t>
  </si>
  <si>
    <t>Gómez Patrón, Manuel</t>
  </si>
  <si>
    <t>Manuel Gómez Patrón</t>
  </si>
  <si>
    <t>ro Ovando: para el Beneficio servidero de S. Benito de la ciudad de Salamanca, que este obtiene , á D. Manuel Gómez Patrón: para una Ración de la misma catedral, vacante por fallecimiento de D. Fermín Perez Piñuela, á D. Lino Mahamud de Buedo: para otra Ración de la colegial de Covarrúbias , diócesis</t>
  </si>
  <si>
    <t>D. Pedro Ovando: para el Beneficio servidero de S. Benito de aquella ciudad, que obtiene Ovando, á D. Manuel Gómez Patrón: para el Beneficio simple de Aedo de Butrón, en el Arzobispado de Burgos, vacante por promoción de D. Ignacio Alonso Bugedo al Arcedianato titular de la Metropolitana de Búrgos, á</t>
  </si>
  <si>
    <t>Gómez Somorostro, Carlos</t>
  </si>
  <si>
    <t>Carlos Gómez Somorostro</t>
  </si>
  <si>
    <t>co. ,S. M. se ha servido nombrar Guarda-Almacén ordinario de Artillería, de la plaza de Cartagena á D. Carlos Gómez Somorostro; Guarda-AK macen ordinario de Artillería de la fábrica de armas blancas de Toledo á D. Josef JBielsa, y Guarda-Almacén extraordinario de Artillería de la ciudadela de Pamplona á D</t>
  </si>
  <si>
    <t>Gómez Xara, Fernando</t>
  </si>
  <si>
    <t>Fernando Gómez Xara</t>
  </si>
  <si>
    <t>calma y un bochorno bastante fuertes. Allí se ha calificado de azufre, por el color y el olor------Don Fernando Gómez Xara, Secretario de Legación del Rey nuestro Señor en aquella corte , ha remitido una corta porción de los polvos llovidos, qu.e han sido cuidadosamente analizados por D. Luis Proust,</t>
  </si>
  <si>
    <t>Gómez Xara, Francisco</t>
  </si>
  <si>
    <t>Francisco Gómez Xara</t>
  </si>
  <si>
    <t>amón López Pelegrin, por haberle conferido S. M. plaza de Oidor de la Chancillería de Valladolid, á D. Francisco Gómez Xara. En el regimiento de caballería del Infante, quarto de línea, se ha servido S. M. promover á Portaestandarte al Alférez graduado D. Vicente: Revert, Sargento primero del mismo cue</t>
  </si>
  <si>
    <t>M. se ha servido nombrar para la Canongía que en la Iglesia de Salamanca há vacado por promoción de D. Francisco Gómez Xara á D. Luis María Ramos, Capellán del 4.0 regimiento del Real Cuerpo de Artillería, en consideración á sus servicios, y conforme al Reglamento de 30 de Enero último. f S. M. se ha s</t>
  </si>
  <si>
    <t>Gómez, Francisco</t>
  </si>
  <si>
    <t>Francisco Gómez</t>
  </si>
  <si>
    <t>nte el camino viejo ,4 mediodia tierra que fué de María Fernandez, a poniente y sierra herederos de Don Francisco Gómez, á 3.5.0, rs. Otra en dicho parage, que llaman la Talayüela , de 3 fan. , linde á oriente la huelga de les Olmillos, á mediodia tierra que fué de Don Francisco Morales, á poniente</t>
  </si>
  <si>
    <t>........... 141..25 Francisco Gómez..,.;.......... Fscalorilla...................... 141 ■25 Josef Mascaraq ;e......... ...... Mora................................. 141.-25 Benito Blanco..........</t>
  </si>
  <si>
    <t>141-25 Francisco Gómez................. Perales de Tajuña......... 141..25 Manuel Gómez................... Calzada......... 141.25 Josef Conde........... .......</t>
  </si>
  <si>
    <t>Gómez, Gonzalo</t>
  </si>
  <si>
    <t>Gonzalo Gómez</t>
  </si>
  <si>
    <t>arez, D. Bartolomé Pita Daveyga, D. Luis de los Ríos, D. Francisco Calvo, D. Luis Perez del Camino, D. Gonzalo Gómez, D. Antonio Quintano, D. Josef Montaibo, D. Pedro García, Don j» an de San Llórente, D. Manuel Pardo Rivadeneyra, D. Josef de Miranda, D.. Francisco Díaz Melendez, D. Josef Arambu</t>
  </si>
  <si>
    <t>Gómez, Joseph Antonio</t>
  </si>
  <si>
    <t>Joseph Antonio Gómez</t>
  </si>
  <si>
    <t>al é nijo y compañía. En Segovia.............Sres. viuda de Ramiro y Martin. En Sevilla.......... . D. Joseph Antonio Gómez é hijo. En Soria............. D. Andrés Martínez de Aparicio, En Toledo.............. Sres. Chavarri y Posadillo. En Toro.............. D. Joseph Ligero. En Valencia.......... D.</t>
  </si>
  <si>
    <t>ial e hijo y compañía. En Segovia........... Sres. viuda de Ramiro y Martin. En Sevilla............ D. Joseph Antonio Gómez é hijo. En Soria...............D. Andrés Martínez Aparicio. En Toledo.............Sres. Chavárri y Posadíllól En Toro................ D. Joseph Ligero. ■'■•h En Valencia....... Sr</t>
  </si>
  <si>
    <t>Gómez, Manuel</t>
  </si>
  <si>
    <t>Manuel Gómez</t>
  </si>
  <si>
    <t>go en el de 1705, que no tuvo efecto con motivo de haberse formado concurso á los bienes del citado Don Manuel Gómez; de cuyos autos (después de pagados todos los acreedores) resultaron sobrantes 1500 pesos, con los que se pudo verificar el de los 956 del resto referido, correspondientes á los e</t>
  </si>
  <si>
    <t>............ 141-25 Manuel Gómez.................... Fuensalida....... ................... 14 Jayme Rivera........................ Gavarra............................ 141-25 Romualdo López-..,.....</t>
  </si>
  <si>
    <t>omisario de Artillería, honorario de Guerra del exército, al Guarda-Almacén ordinario de Artillería Don Manuel Gómez. En los Regimientos de caballería de línea ;se ha servido el Rey promover á Teniente Coronel del del Príncipe á D. Eduardo Wisar de Bocarme, Teniente Coronel agregado al de húsare</t>
  </si>
  <si>
    <t>Gómez, Matías Antonio</t>
  </si>
  <si>
    <t>Matías Antonio Gómez</t>
  </si>
  <si>
    <t>aquella diócesis : para otra Mediar Ración de la iglesia de Popayan, vacante por haberla renunciado D. Matías Antonio Gómez, á D. Francisco Mosquera, Gura Rector de aquella catedral. En el regimiento de infantería .de NuevarEspaña se ha servido el Rey promover á Capitán ?1 Ayudante D. Juan Estor ¿ á Ay</t>
  </si>
  <si>
    <t>Gómez, Miguel</t>
  </si>
  <si>
    <t>Miguel Gómez</t>
  </si>
  <si>
    <t>4M ro, D. Ramón Gómez, y D. Miguel Gómez , todos .tres.de^ps propios cuerpos ..excepto el segundo, que lo era distinguido del ue v oluntanos de Igualmente ha nombrado S. M. Alférez del regimiento de cabalaría de Sacunto,</t>
  </si>
  <si>
    <t>Gómez, Nicolás</t>
  </si>
  <si>
    <t>Nicolás Gómez</t>
  </si>
  <si>
    <t>141-25 Nicolás Gómez........ ........ - Puebla de Montalban.... 141-25 Francisco del Cerro............. Puebla de Montalban— 141-25 Juan Martinez......</t>
  </si>
  <si>
    <t>Gómez, Pedro</t>
  </si>
  <si>
    <t>Pedro Gómez</t>
  </si>
  <si>
    <t>on examinados los Cadetes del regimiento de infantería de Zamora D. Tomas Bielsa, D. Cárlos Emilio, D. Pedro Gómez, D. Manuel Tena, D.Ignacio Ventura y D, AntonioNicolau,de todas las obligaciones señaladas en la ordenanza; de las evoluciones y manejo del arma, de la aritmética, geometría, trig</t>
  </si>
  <si>
    <t>Gómez, Ramón</t>
  </si>
  <si>
    <t>Ramón Gómez</t>
  </si>
  <si>
    <t>4M ro, D. Ramón Gómez, y D. Miguel Gómez , todos .tres.de^ps propios cuerpos ..excepto el segundo, que lo era distinguido del ue v oluntanos de Igualmente ha nombrado S. M. Alférez del regimiento de ca</t>
  </si>
  <si>
    <t>Gómez, Salvador</t>
  </si>
  <si>
    <t>Salvador Gómez</t>
  </si>
  <si>
    <t>..... 141-25 Salvador Gómez................. Arges.............................. J4r-25 Ramón Cerro....................... Navalicillos............... 141-25 Manuel Hernández.............</t>
  </si>
  <si>
    <t>González Alonso, Domingo</t>
  </si>
  <si>
    <t>Domingo González Alonso</t>
  </si>
  <si>
    <t>esis de Zamora, vacante por promoción vic D. Nicolás Bayony Girón á Canongía de aquella catedral, a D. Domingo González Alonso: para el Beneficio simple de Regla de Corlas por fallecímieruo de D. Pedro de la Santa, y para el de Arles, por muerte de D. Pedro Campo Redondo, ambos en el obispado de Oviedo, á</t>
  </si>
  <si>
    <t>González Álvarez, Carlos</t>
  </si>
  <si>
    <t>Carlos González Álvarez</t>
  </si>
  <si>
    <t>derecho á suceder en los bienes, caudal y efectos que han quedado por fallecimiento abíntestato de D. Carlos González Alvarez, Oficial jubilado que fué de la secretaría de la Presidencia de Castilla, ocurrido en 14 de Julio próximo pasado, y á los interesados ó acreedores del mismo para que dentro del té</t>
  </si>
  <si>
    <t>González Arnao, Vicente</t>
  </si>
  <si>
    <t>Vicente González Arnao</t>
  </si>
  <si>
    <t>xcmo. Sr. Conde de Campománes , leído en la Real Academia de la Historia por su individuo'de número D. Vicente González Arnao: número i.® del tomo 5.0 de las Memorias. Se hallará con las demas obras de la Academia en 1* Real Panadería. ; | i. . *. Consideraciones para ántes y después de la sagrada comuni</t>
  </si>
  <si>
    <t>González AzaoU, Gregorio</t>
  </si>
  <si>
    <t>Gregorio González AzaoU</t>
  </si>
  <si>
    <t>, para que los discípulos de dicha Real escuela , D. Josef María García Rodrigo, D. Leonardo Vidal, D. Gregorio González AzaoU, D. Gabriel Fernandez Tabeada, D. Benito Tellez deMeneses y D.Estéban Demetrio Brúñete, hagan en el Real Laboratorio de Química, establecido en la calle del Turco, os exercicios p</t>
  </si>
  <si>
    <t>González de Castro, Joaquín</t>
  </si>
  <si>
    <t>Joaquín González de Castro</t>
  </si>
  <si>
    <t>por primero y último se señala, comparezcan con los correspondientes documentos ante el Secretario D. Joaquín González de Castro.. DictíonariumTheoIogicum portatíle, primum Galice editum, dein Italice versum, ac plurimis adnotationibus, novisque articulis locupletatum á P. Abbate D. Prospero ab Aquila, publ</t>
  </si>
  <si>
    <t>González de Estéfani, Francisco</t>
  </si>
  <si>
    <t>Francisco González de Estéfani</t>
  </si>
  <si>
    <t>Rascón Cornejo. Asimismo ha venido S» M. en conceder los honores del referido Consejo de Hacienda á D. Francisco González de Estéfani, Comisario Ordenador que ha sido de sus Reales exércitos, y actuaL Director segundo de la Real Lotería. También se ha servido conferir el Gobierno militar y político de la plaza d</t>
  </si>
  <si>
    <t>González de Iturralde, Tomás</t>
  </si>
  <si>
    <t>Tomás González de Iturralde</t>
  </si>
  <si>
    <t>Miguel de la ciudad de Orihuela: para otra Canongía de la misma Colegial, vacante por promoción de D. Tomas González de Iturralde á una Media- Ración de la Catedral de Sto. Domingo de la Calzada, á D. ¿Antonio Anssin Alonso, Cura Capellán sirviente del lugar de Cubillejo de Lara en dicho Arzobispado: para un</t>
  </si>
  <si>
    <t>González de Lobera, Manuel</t>
  </si>
  <si>
    <t>Manuel González de Lobera</t>
  </si>
  <si>
    <t>á entregarlo en su casa, calle del Príncipe, esquina á la de la Visitación, núm. 2, quarto 2.0, ó a D. Manuel González de Lobera y compañía, del comercio, calle de las Fuentes. A conseqüencia de los Reales decretos de 19 de Setiembre de 1798, ir de Enero de 99, y capítulo 46 de la Real cédula de 21 de Octubre</t>
  </si>
  <si>
    <t>González de Mendoza, Agustín</t>
  </si>
  <si>
    <t>Agustín González de Mendoza</t>
  </si>
  <si>
    <t>y para el Benefw ció de la villa de Espera, en dicho arzobispado de Sevilla , vacante por muerte de D. Agustín González de Mendoza, á D. Antonio. JosefMoran, Cura de S. Pedro de Arcos de la Frontera , con la obligación que tiene anexa de precisa personal residencia, y de ayudar al Párroco en las funciones de</t>
  </si>
  <si>
    <t>González de Quevedo, Joaquín</t>
  </si>
  <si>
    <t>Joaquín González de Quevedo</t>
  </si>
  <si>
    <t>ampana y D. Rafael España y Chico: en el de Jaén á D. Carlos Marrugat: en el de Ordenes Militares á D. Joaquín González de Quevedo: en el de Voluntarios de Castilla á D. Manuel Agulló y D. Ramón Ximenez: en el de Voluntarios de Estado á D. Santiago Fortun, Cadete dei de Jaén; y eivei de Borbon á D. Josef Ferr</t>
  </si>
  <si>
    <t>González Eiris, Ramón</t>
  </si>
  <si>
    <t>Ramón González Eiris</t>
  </si>
  <si>
    <t>ército y del departamento de artillería de Segovia al Comisario de artillería, honorario de guerra, D. Ramón González Eiris., y Comisario de artillería, honorario de guerra del exército , al Capitán primero del quinto regimiento del Real cuerpo de Artillería D. Fernando de Silva. En América, E11 el reg</t>
  </si>
  <si>
    <t>González Herreros, Manuel</t>
  </si>
  <si>
    <t>Manuel González Herreros</t>
  </si>
  <si>
    <t>ntonio de Annenteros y Merino: para una Pación ele la catedral de Zamora, vacante. por promoción de D. Manuel González Herreros á Canongía de la misma, y por no haber tenido efecto el nombramiento que S. M. hizo para ella en D. Marcelino Sánchez Rangel, por decreto de 11 de Setiem</t>
  </si>
  <si>
    <t>González Iturralde, Tomás</t>
  </si>
  <si>
    <t>Tomás González Iturralde</t>
  </si>
  <si>
    <t>a Calzada, vacante por promoción de D. Pedro de Espinosa á una Canongía de la catedral dé Huesca, á D. Tomas González Iturralde, Canónigo de la colegial de S. Quirce, diócesis de Burgos: para un Beneficio de la parroquial de Sta. Mam de Carmona, diócesis de Sevilla, vacante por fallecimiento de D. Antonio</t>
  </si>
  <si>
    <t>González Mesa y Adamo, Manuel</t>
  </si>
  <si>
    <t>Manuel González Mesa y Adamo</t>
  </si>
  <si>
    <t>ta González del Alamo, que con documentos acrediten serlo legitimes, acudirán á Manuel González Mesa y Adamo, vecino de Cedillo, quien tiene que comunicarles negocios de importancia. Vive en dicho pueblo de Cedillo, partido de Toledo, inmediato á Illescas, á 7 leguas de Madrid, y á 5 de Toledo.</t>
  </si>
  <si>
    <t>González Vaca, Tomás</t>
  </si>
  <si>
    <t>Tomás González Vaca</t>
  </si>
  <si>
    <t>Aguila y D.GabriélÁlbnsdj Lope** 5 : ‘ ' Qualquiera persona que tenga derecho á los bienes del Sr. D. Tomas González Vaca, Intendente dé'Caracas, que falleció en la isla de Sto. Tomé en 23 de Mayo de 1801 , acuda 4 exponerlo y acreditarlo al Sr. D. Manuel Vicente de Torres, del Consejo de SrM., prime</t>
  </si>
  <si>
    <t>González y Abad, Joaquín</t>
  </si>
  <si>
    <t>Joaquín González y Abad</t>
  </si>
  <si>
    <t>on el premio principal de una medalla de plata Dv Eduardo Paules y Abaxo ; y con otra algo inferior D. Joaquín González y Abad , que filé el último competidor. Fue grande la satisfacción y complacencia que manifestó el numeroso concurso del clero secular y regular , y de otras principales personas de ambo</t>
  </si>
  <si>
    <t>González y Bulnes, Agustín</t>
  </si>
  <si>
    <t>Agustín González y Bulnes</t>
  </si>
  <si>
    <t>villa de Lebrija, en el Arzobispado de Sevilla, vacante por fallecimiento de D. Francisco Cobelo, á D. Agustín González y Bulnes, Guardia de Corps de dicha Compañía Española, con la obligación de precisa y personal residencia, y demas cargas que tiene anexas: para el Medio Préstamo del despoblado de Aldover</t>
  </si>
  <si>
    <t>González, Antonio</t>
  </si>
  <si>
    <t>Antonio González</t>
  </si>
  <si>
    <t>, Capitán segundo del tercero, y á Capitán segundo del tercer regimiento á. D.. Antonio González, Teniente de á caballo del segundo.. En América. El Rey se ha servido nombrar para una Canongía de merced de la catedral de la Puebla de los Angeles , vacante por fallecimiento de D. Juan I</t>
  </si>
  <si>
    <t>l Capitán D. Andrés Justiz, Teniente del de Cantabria: Tenencia en el de la'Trincesa al Subteniente D. Antonio González; y Subtenencias de bandera en los de Irlanda, Extremadura y Ordenes Militares á los Sargentos primeros D. Miguel Chacoleti , D. Josef Moreno y D. Tomas González, y en los de Zamor</t>
  </si>
  <si>
    <t>D. Pedro Palomo; y á Subtenientes de bandera en los del Príncipe y Córdoba á los Sargenros primeros D. Antonio González y D. Manuel Nebot. Por el Ministerio de Hacienda se ha comunicado, con fecha de 25 de Agosto, la Real orden siguiente: ,,Enterado el Rey del progreso que han tomado las enfermedades,</t>
  </si>
  <si>
    <t>n los Regimientos de caballería de línea se ha servido el Rey promover en el de Borbon á Ayudante á D. Antonio González: á Tenientes en los de Farnesio y España á D. Carlos Rodríguez y D. Josef Paez; y á Alférez en el de Santiago al portaestandarte D. Manuel Correas. En los de caballería ligera igu</t>
  </si>
  <si>
    <t>González, Diego Benigno</t>
  </si>
  <si>
    <t>Diego Benigno González</t>
  </si>
  <si>
    <t>de Torres, del Consejo de S. M., Teniente Corregidor de esta villa , por la escribanía numeraría de D. Diego Benigno González, donde se admitirán las posturas que se hicieren en moneda metálica. El remate se ha señalado para el dia j8 de Febrero próximo venidero de este año á las puertas de la audiencia</t>
  </si>
  <si>
    <t>de Torres, del Consejo de S. M., Teniente Corregidor de esta villa, por la escribanía del número de D. Diego Benigno González, á legitimar sus créditos, y usar de su derecho: en los autos de testamentaría, formada por muerte del citado Den Lorenzo; prevenidos que pasado dicho término, sin mas citación y</t>
  </si>
  <si>
    <t>anuel de Torres, del Consejo de S. M., Teniente Corregidor de esta villa, y escribanía de número de D. Diego Benigno González, se subasta una casa sita en la calle de Hortaleza, con fachada a la de la Florida, números 6 y 7, manz. 328, que tiene de sitio 95785 pies, y está tasada en 143,545 rs. En la vil</t>
  </si>
  <si>
    <t>González, Felipe Ventura</t>
  </si>
  <si>
    <t>Felipe Ventura González</t>
  </si>
  <si>
    <t>illa de la catedral de Córdoba, vacante por promoción de D. Romualdo Mon á la mitra de Tarragona, á D. Felipe Ventura Gonzalez,, Medio-Racionero de ella: para ía Chantría y Canongía de la de Sigüenza, que han quedado vacantes por promoción al Deanato de la de Segorve ae D. Juan Bautista García, á D. Franc</t>
  </si>
  <si>
    <t>. M. se ha servido nombrar para la Media-Ración de la catedral de Córdoba, vacante por promoción de D. Felipe Ventura González al Deanato de ella, á D. Bartolomé Montoro, Cura del hospital de Baeza: para el Beneficio simple Préstamo de la parroquial de S. Esteban del lugar de I os Valbases, diócesis de Bu</t>
  </si>
  <si>
    <t>lbarrilla, á D. Ramón Soler; y para la Presramera de la villa de Albacete, vacante por.promocion de D. Felipe Ventura González al Deanato déla de Córdoba, á D. Juan Garusiani. En el regimiento de infantería de Soria se ha servido S. M. promover á Teniente ai Subteniente D. Pedro Palomo; y á Subtenientes d</t>
  </si>
  <si>
    <t>González, Francisco</t>
  </si>
  <si>
    <t>Francisco González</t>
  </si>
  <si>
    <t>. promover á Sargento mayor al Capitán D. Manuel de Sotta Riva; á Capitán al Teniente de granaderos D. Francisco González ; á Teniente de granaderos al de fusileros D. Josef Cosío ; á Teniente ai Subteniente de granaderos D. Juan Urquidi,; á Subteniente de granaderos al de fusileros D. Antonio Cayre,</t>
  </si>
  <si>
    <t>naderos al de fusileros D.JoserArnau: á Subtenientes de Compañía á los agregados Don Joaquín Ruj as,D. Francisco González y D. Francisco Diaz, y á los de bandera D. Julián Padilla, D. León Torralbo, D. Manuel VUlalba y Don Francisco García;y áSubtenientes de banderaá los agregados D. Nicolás Sabifion, gr</t>
  </si>
  <si>
    <t>González, Francisco Xavier</t>
  </si>
  <si>
    <t>Francisco Xavier González</t>
  </si>
  <si>
    <t>n y D. Josef de Zapas ; y á Ayudante en el expresado de Asturias al Teniente, graduad® dL Capitán , D. Francisco Xavier González. El Rey se ha servido promover á Subtenientes en los regimientos de infantería de Granada, Toledo, Ultonia y Voluntarios de la Corona, a l*os Cadetes D. Baltasar Echavarría, D. Pe</t>
  </si>
  <si>
    <t>González, Julián</t>
  </si>
  <si>
    <t>Julián González</t>
  </si>
  <si>
    <t>rs. 17 mrs. Quien quisiere'hacer postura acuda ante dicho Señor, y por la escribanía del número de D. Julián González:Saez, dentro de 30 días, que cumplirán en 23 de Marzo próximo, dondo se admitirán las que se hicieren; en inteligencia de que no se han de rematar (.en ménos cantidad que la de su</t>
  </si>
  <si>
    <t>González, Romualdo</t>
  </si>
  <si>
    <t>Romualdo González</t>
  </si>
  <si>
    <t>e de Lardero, en el Obispado de Calahorra, vacante por fallecimiento de D. Diego Fernandez Bazan, á D. Romualdo González: para el Beneficio simple servidero del lugar de Becedas, Diócesis de Plaséncia, vacante por muerte de D. Pedro Lomo, á D. Atilano Martínez / Sochantre segundo de la Real:Iglesia</t>
  </si>
  <si>
    <t>González, Salvador</t>
  </si>
  <si>
    <t>Salvador González</t>
  </si>
  <si>
    <t>s. Carta del V. D. Juan de Palafox y Mendoza al Sumo Pontífice Inocencio x, traducida del latín por D. Salvador González : tercera edición. Se hallará en la librería de Claros, calle del Arenal. Moral de un filósofo cristiano, distribuida en máximas deducidas de la sagrada Escritura, por un Presbíte</t>
  </si>
  <si>
    <t>González, Tomás</t>
  </si>
  <si>
    <t>Tomás González</t>
  </si>
  <si>
    <t>quia de S. Salvador de la ciudad de Cuenca, vacante por fallecimiento de D. Juan Antonio Leruela, á D. Tomas González, catedrático de teología en el Seminario Conciliar de la propia ciudad. £1 Rey se ha servido promover á Sargento mayor del regimiento de infantería de Aragón al Capitán de Volunta</t>
  </si>
  <si>
    <t>Gordillo, Manuel</t>
  </si>
  <si>
    <t>Manuel Gordillo</t>
  </si>
  <si>
    <t>e Voluntarios de Barcelona, á D. Joaquín Quintado, Cadete del primero de Voluntarios de Aragón, y á D. Manuel Gordillo, Teniente de granaderos del regimiento Provincial de Badajoz. El Rey se ha servido nombrar Coronel del regimiento Provincial de Ciudad-Real al de infantería D. Manuel la Fuente de</t>
  </si>
  <si>
    <t>Gordo, Manuel</t>
  </si>
  <si>
    <t>Manuel Gordo</t>
  </si>
  <si>
    <t>. 141-25 Manuel Gordo.................. . Montuenga.................... . 141..25 Narciso Moreno............. Escalonilla............... 141-25 Bartolomé Notario.....</t>
  </si>
  <si>
    <t>Gordo, María</t>
  </si>
  <si>
    <t>María Gordo</t>
  </si>
  <si>
    <t>de D. Ped ro Trias , su primo , residente en la Nueva-Barceiona, para entregar 75 pesos fuertes’ a Doña María Gordo , de España , según consta de la. testamentaría .de su difunto padre D. Pedro Juan Trias, que falleció en dicha NuevaBarcelona: se han hecho: varias diligencias para adquirir noti</t>
  </si>
  <si>
    <t>Gordon, Juan</t>
  </si>
  <si>
    <t>Juan Gordon</t>
  </si>
  <si>
    <t>trara .»$rige y-cosida en^parte el cuerpo. Pronuncio el discurso de abertuiu .el segundo p.irector. D. Juan Gordon, maní testando quan á proposito son ios cuexpps patrióticos para procurar, por medio de ellos,1a prosperidad de la .agricultura y de la industria, y de consiguiente el aumento de</t>
  </si>
  <si>
    <t>Gorgot, María</t>
  </si>
  <si>
    <t>María Gorgot</t>
  </si>
  <si>
    <t>ora, y no lo ha podido lograr; solamente qué algunos le han dicho que Doña María Borbon , otros que Doña María Gorgot, solian tener intereses por la rrar: por tanto, siempre que los apoderados de dichas señoras manifiesten alguna oblíracion ó corlespQ.nd^Tvcia con.dicho difunto^ Trias en aquel fi</t>
  </si>
  <si>
    <t>Gower</t>
  </si>
  <si>
    <t>pasó el Sund la fragata Inglesa Amatista, de 36 cañones, llevando á bordo el nuevo Embaxador Ingles Mr. Gower, que pasa á Petersburgo. El vecindario de Harnburgo ha consentido en el empréstito de 6co® marcos de banco, que han solicitado los Estados de Hannóver, y ademas en la demolición d</t>
  </si>
  <si>
    <t>Goya, Francisco</t>
  </si>
  <si>
    <t>Francisco Goya</t>
  </si>
  <si>
    <t>n Francisco Bayeu, primer Pintor de cámara que fué de S. M., copia del excelente quadro pintado por D. Francisco Goya, uno de los dos actuales primeros Pintores de S. M., dibuxada por D. Asensio Chulía, y grabada por D. Josef Vázquez, Académico de mérito de la Real Academia de S. Fernando. Se hal</t>
  </si>
  <si>
    <t>Goyena, Joaquín</t>
  </si>
  <si>
    <t>Joaquín Goyena</t>
  </si>
  <si>
    <t>s, D. Tomas Corrochano, D,. Rafael Villar,, graduado de Capitán, D. Bartolomé Lison, de granaderos, D. Joaquín Goyena, idem, D. Josef AHllasante, idem, D. Mariano Caro y D. Pedro Osorio: á Tenientes de granaderos á los de fusileros D. Josef Fernandez Reguera, D. Pedro Bufarull y D. Sebastian Arro</t>
  </si>
  <si>
    <t>Graef, Juan Henrique</t>
  </si>
  <si>
    <t>Juan Henrique Graef</t>
  </si>
  <si>
    <t>8.° = Discursos mercuriales sobre agricultura, marina, comercio y artes liberales y mecánicas, por D. Juan Henrique Graef: 4 tomos en 8.° Se hallarán en la librería de Orcel, calle/de las Carretas. En la librería de Campo, calle de Alcalá, se hallan las obras de música siguientes : un trio nuevo para</t>
  </si>
  <si>
    <t>Granados, Juan</t>
  </si>
  <si>
    <t>Juan Granados</t>
  </si>
  <si>
    <t>erir el empleo de Guarda-Almacén extraordinario de Artillería en.la fábrica de armas de Placencia á D. Juan Granados, Guarda-Almacén reformado del propio ramo en la plaza de Badajoz. En el Real cuerpo de Ingenieros del exército se ha dignado S. M. promover á Capitanes primeros á D. Gaspar Durvve</t>
  </si>
  <si>
    <t>Grandona, Joaquín</t>
  </si>
  <si>
    <t>Joaquín Grandona</t>
  </si>
  <si>
    <t>Marti: á Capitanes primeros á los Capitanes segundos Don Juan Francisco Azpiroz, D. Josef Velarde,y D. Joaquín Grandona;y á Capitanes segundos á los Tenientes D. Josef Castellar, D. Pedro Díaz de Ribera , y D. Benito Irazabal.. S*. M.. se. ha servido nombrar para- una Tenencia en el regimiento de c</t>
  </si>
  <si>
    <t>Granero, Antonio</t>
  </si>
  <si>
    <t>Antonio Granero</t>
  </si>
  <si>
    <t>ía de la Reyna, Cantabria y Ordenes Militares á los Capitanes de los de Murcia, Príncipe y Asturias D. Antonio Granero, gradltiado de Teniente Coronel, D. Juan Bernardo Daban y D. Josef de Zapas ; y á Ayudante en el expresado de Asturias al Teniente, graduad® dL Capitán , D. Francisco Xavier Gonzá</t>
  </si>
  <si>
    <t>Graset, Agustín</t>
  </si>
  <si>
    <t>Agustín Graset</t>
  </si>
  <si>
    <t>y D. Josef Manjon: en el de Navarra Subtenencia de bandera al Cadete del de Reales Guardias Walonas D. Agustín Graset, Conde de Graset: en el de América</t>
  </si>
  <si>
    <t>Grassa, Juan</t>
  </si>
  <si>
    <t>Juan Grassa</t>
  </si>
  <si>
    <t>erido S. M. Ayudantía en el regimiento de caballería de Calatrava al Teniente, graduado de Capitán, D. Juan Grassa : Tenencia en el de Algarbc al Capitán D. Juan Narbona de Lara, Teniente agregado al de Alcántara ; y empleos de Portaestandarte en los del Rey é Infante á los Cadetes D. Antonio</t>
  </si>
  <si>
    <t>Grau, Joaquín</t>
  </si>
  <si>
    <t>Joaquín Grau</t>
  </si>
  <si>
    <t>ea. María de la villa de Piera, obispado de Barcelona, vacante por dimisión de D. Mariano Rovira, á D. Joaquín Grau.. En el regimiento de Almansa, tercero de cazadores, se ha servido et Rey conferir el empleo de Teniente Coronel ai Sargento mayor, graduado de Teniente Coronel, D. Miguel Beecar.</t>
  </si>
  <si>
    <t>Graves, Almirante</t>
  </si>
  <si>
    <t>Almirante Graves</t>
  </si>
  <si>
    <t>arina que impedirá la salida del enemigo , ó en caso de verificarla , que lo forzará á combatir. El Almirante Graves, luego que vio las señales, se preparó inmediatamente á dar caza al enemigo. El gobierno tenia ya mucho tiempo ántes noticia de que Gamheaume intentaba eludir la vigilancia de nue</t>
  </si>
  <si>
    <t>de haber salido de Brest f navios de línea y 4 fragatas, i las órdenes del Almirante Gantneaume. £1 Almirante Graves les dió inmediatamente caza con la división que manda , compuesta de 6 navios de línea, 2 fragatas y un cúter. Luego que se supo esta noticia en Plimoutli, se despacharon inmediat</t>
  </si>
  <si>
    <t>Gravina, General</t>
  </si>
  <si>
    <t>General Gravina</t>
  </si>
  <si>
    <t>i.° de Diciembre á Fonrainebleau, y el 2 á París. En la audiencia diplomática del 29 de Octubre el General Gravina, Embaxador de España, ha presentado á S. M. I. al Caballero Santibañez, Secretario de la Embaxada de España; el Conde de Fuentes d’Egmont, Grande de España de primera clase, Gener</t>
  </si>
  <si>
    <t>Gray</t>
  </si>
  <si>
    <t>e tenemos rehusase el Parlamento intervenir, olvidaria su obligación, y se envilecería á sí mismo.” Mr. Gray tomo la voz y dixo: ,, Exhorto al Chanciller del Echiquier á que declare categóricamente, si la autoridad Real se halla en</t>
  </si>
  <si>
    <t>Gráy</t>
  </si>
  <si>
    <t>salud de S. M. El Lotd ^Cañciliér tomó sobre sí la responsabilidad.__ Enla Cámara de los Goñiuneís^Mr. Gráy hizo las mismas observaciones , y manifestó el deseóle ' que en uñ asunto tan delicado é importante no quedase ninguna duda en los ánimos de los miembros de la Cámara, y que esta</t>
  </si>
  <si>
    <t>Gregoria Bergaño</t>
  </si>
  <si>
    <t>ntander, D. Josef Romo, D. Tomas Pereda y D. Antonio Corde ro. En 1a escuela de costura, que dirige Doña Gregoria Bergaño, se distribuyó el primer premio, que consiste en una medalla de plata, á Juana Llanos, Florentina Rodríguez, María Alegre y Manuela Pozo , y el accessit ó segundo premio á Olalla</t>
  </si>
  <si>
    <t>s y Cantalapiedra beneméritos por su aprovechamiento en la geografía. En la escuela de costura , de Doña Gregoria Bergaño , se distribuyó el primer premio á Serapia Salvatierra, Eustaquia Marañon, Catalina Fernandez y Eusebia Velez; y el segundo á Telesfora Martínez , Ines Mayo y Eleuteria Cembrerero</t>
  </si>
  <si>
    <t>Gregory</t>
  </si>
  <si>
    <t>rso sobre los deberes, qualidades y conocimientos del Médico, con el método de sus estudios, por el Dr. Gregory, Médico del Rey de la Gran Bretaña, y Profesor de Medicina en la Universidad de Edimburgo &amp;c., traducido al castellano: un tomo en 8.° Se hallará en las librerías de Gómez Fuenten</t>
  </si>
  <si>
    <t>Grenville, Lord</t>
  </si>
  <si>
    <t>Lord Grenville</t>
  </si>
  <si>
    <t>ató de le tr por segunda vea el bilí relativo a la restricción del banco, sobre cuy#o particular el Lord Grenville , dixo^ que consideraba este punto coimo uno de los de la mayor importancia , porque en su manejo y resultad.o 'se hallaban comprehendidos los intereses mas esenciales del estado.</t>
  </si>
  <si>
    <t>fundado baxo estos principios—-Dícese que Mr. Pitt , después de hablar 'con S. M.', pasó á casa del Lord Grenville, quien declaró que estaba decididamente resuelto á no admitir ningún empleo en un ministerio, del qual se proscribía á Mr. Fox. Por la noche hubo una junta</t>
  </si>
  <si>
    <t>Gretuer, Carlos</t>
  </si>
  <si>
    <t>Carlos Gretuer</t>
  </si>
  <si>
    <t>n el de Redirig el empleo de Ayudante al Teniente D. Antonio Stéeger; y Subtenencias á los Cafdetes D. Carlos Gretuer, D. Aloysio Jutz y D. Baltasar Nuderist. El Rey se ha dignado conceder honores de Ministro del Tribunal de la Contaduría mayor de Cuentas á D. Manuel Manso, Administrador general</t>
  </si>
  <si>
    <t>Grey</t>
  </si>
  <si>
    <t>e tratará de; lo mismo en la Cámara de los Comunes.'1 En la junta de la Cámara,de los Comunes del 2 Mr. Grey, hablando del estado de S. M¡, preguntó á Mr. Addington, si lo que había dicho anteriormente se fundaba en alguna conferencia personal que hubiese tenido con S. M. Mr. Addington'r</t>
  </si>
  <si>
    <t>iso aprovecharse inmediatamente de esta ventaja, con la quai el primer Ministro quedó en minoridad. Mr. Grey propuso: ,,que la seguncja lectura de las enmiendas se hiciese de allí-a tres meses , ó, lo que es lo mismo,, que se desestimase el bilí.” Sir John Wrottesley combatió los argumen</t>
  </si>
  <si>
    <t>GrHtóbarMunoz</t>
  </si>
  <si>
    <t>apotan, D. Pedro Rice: eiiel de voluntarios de GastillarSÍíbtenencia de bandera al Sargento primero D. GrHtóbarMunoz; y en el,dé voluntarios de la Corona Tenencia al Subteniente de -granaderos D. Juan Bautista Sech. En consideración á tos dilatados y distinguidos servicios de D. Manuel Ximenez B</t>
  </si>
  <si>
    <t>Griego Argilopto, Príncipe</t>
  </si>
  <si>
    <t>Príncipe Griego Argilopto</t>
  </si>
  <si>
    <t>osiciones relativas á la formación de los cuerpos, y al orden que exige la marcha de las tropas. El Príncipe Griego Argilopto, que ha residido por espacio de 6 años en Londres en calidad de Encargado de Negocios de la Sublime Puerta, lia llegado aquí de Inglaterra para restituirse por Viena á Constantino</t>
  </si>
  <si>
    <t>Grijoa, Antonio</t>
  </si>
  <si>
    <t>Antonio Grijoa</t>
  </si>
  <si>
    <t>án de granaderos al de fusileros D. Josef Gómez.’: á Capitán de fusileros al Teniente de granaderos D. Antonio Grijoa: á Teniente de granaderos al de fusileros L). Francisco de Vera: á Teniente al Subteniente de granaderos D. Víctores Navajas; y á Subteniente de bandera al Cadete D. Mariano Soto</t>
  </si>
  <si>
    <t>Grillot, Antonio</t>
  </si>
  <si>
    <t>Antonio Grillot</t>
  </si>
  <si>
    <t>uizo de Rutiman^ y en el primer batallón de Voluntarios de Aragón á los Subtenientes D. Josef Díaz, D. Antonio Grillot y D. Manuel Pascual, los dos primeros de granaderos: Subtenencia de granaderos en él suizo de Schwaller al Subteniente de fusileros D. Josef Krutter; Subtenencias de bandera en el de</t>
  </si>
  <si>
    <t>Grinfield, General</t>
  </si>
  <si>
    <t>General Grinfield</t>
  </si>
  <si>
    <t>El 14 sftr^tóbió la noticia de la rendición de Demerari y de Esequibo á las fuerzas' combinadas del General Grinfield v del Conmodoro Hood. El Lóifd Hobart ha participado este suceso al Lord Corregidor: y con este motivo hiciéron salva lo$ cañones del Parque y de la Torre._ Es.ta conquista no ha,</t>
  </si>
  <si>
    <t>Grinfield, Teniente General</t>
  </si>
  <si>
    <t>Teniente General Grinfield</t>
  </si>
  <si>
    <t>o. Varias cartas particulares de las islas de Sotavento anuncian la triste noticia de la muerte del Teniente General Grinfield, Comandante general de aquellas islas, y del Mayor General Clephane , Gobernador de 'la Granada, que ,han perecido víctimas de la íiebre amarilla, que hace allí grandes estragos.</t>
  </si>
  <si>
    <t>Guarnerio</t>
  </si>
  <si>
    <t>El Rey, con fecha de 22 de Marzo del presente año, dirigió una orden por el Ministerio de Estado al Dr. Guarnerio, en la qual le concedía privilegio exclusivo para el Tratado de la Manía y la Nosograjia Filosófica.</t>
  </si>
  <si>
    <t>GUARNERIO Y AL L AVENA, LUIS</t>
  </si>
  <si>
    <t>LUIS GUARNERIO Y AL L AVENA</t>
  </si>
  <si>
    <t>A CAPITAL¿ Y MIEMBRO DE MUCHAS ACADEMIAS. TRADUCIDO AL CASTELLANO POR EL Dr. D. LUIS GUARNERIO Y AL L AVENA, MEDICO EN EL REAL SITIO DE S. ILDEFONSO. Bien notorio es que en el siglo xvm volvió á adquirir la Medicina parte de aquel esplendor que tuvo en tiempo del inmortal Hipócrates, y del que</t>
  </si>
  <si>
    <t>Guarnerio y Allavena, Luis</t>
  </si>
  <si>
    <t>Luis Guarnerio y Allavena</t>
  </si>
  <si>
    <t>s sobre el uso interno y externo de las aguas termales de Trillo, por el Dr. D. Luis Guarnerio y Allavena, Médico por S. M. en el Real sitio de San Ildefonso. I..a justa celebridad que han-adquirido en nuestra península las aguas deTrillo , y los numerosos enfermos de toda especie que concurr</t>
  </si>
  <si>
    <t>Guazo, Juan Francisco</t>
  </si>
  <si>
    <t>Juan Francisco Guazo</t>
  </si>
  <si>
    <t>referido término sin haberlo hecho, les parará entero perjuicio. Se desea saber de los herederos de D. Juan Francisco Guazo (que habrá 13 anos que murió en Madrid) para darles una noticia que les Interesa, acudiendo con el instrumento fidedigno al M. R. P. Procurador general de Carmelitas descalzos en</t>
  </si>
  <si>
    <t>Gueraty, Pedro</t>
  </si>
  <si>
    <t>Pedro Gueraty</t>
  </si>
  <si>
    <t>s al de íasiieros D. Cáilos Pe&gt;er: en el de Courten á Subtenientes de granaderos á los de fusileros D. Pedro Gueraty y D. Pedro Botta. En ¡os Regimientos de Milicias provinciales se ha dignado el R ey promover a Capitanes de los de Avila, Segovia, León y Betanzos á D. Antonio Martínez de Aguirre y S</t>
  </si>
  <si>
    <t>Guerin</t>
  </si>
  <si>
    <t>unda, dibuxo sacado de estatuas y modelos de yeso; y la tercera del natural. El ciudadano Guerin, conservador del museo de pintura, y bien conocido por sus raros talentos y habilidad, será el director, y tendrá facultad de nombrar sus dos ayudantes , que s</t>
  </si>
  <si>
    <t>Guerrero, Alexandro</t>
  </si>
  <si>
    <t>Alexandro Guerrero</t>
  </si>
  <si>
    <t>141-25 Alexandro Guerrero........... Peralclos.......................... 129.-30 Bernardo Rodríguez—....... Cariñena........................ 141-25 Ia pri</t>
  </si>
  <si>
    <t>Guerrero, Carlos</t>
  </si>
  <si>
    <t>Carlos Guerrero</t>
  </si>
  <si>
    <t>ara de Alcalde mayor de la villa de Dos-Barrios á D. Josef Victnte de Arrióla: para la de Azuaga á D. Carlos Guerrero, ambas de segunda clase: para la de Uclés á Don Josef Martínez del Corro: para la del Toboso á D. Nicolás Velazquez Zurita, estas de primera clase: para la de Hornachos á D. André</t>
  </si>
  <si>
    <t>Guillelmo Xaramillo</t>
  </si>
  <si>
    <t>osto último el décimo examen público del estudio de gramática y ortografía castellana , que regenta D. Guillelmo Xaramillo, presidiéndole el Sr. D. Sebastian de Torres, del Consejo Real. El catedrático, examinadores y varios de los concurrentes preguntaron á los alumnos acerca de todas las partes de l</t>
  </si>
  <si>
    <t>Guillermo Berard</t>
  </si>
  <si>
    <t>Eugenio Villásana; y_á los Cadetes D. Pablo de Traba , D. Josef Withe , D. Vicente Máríar Rosique , D. Guillermo Berard y D. Gabriel Jaume. En el Real cuerpo de Artillería se ha servido el Ríe Y promover á Te—1 nientes Coroneles á los Gefes de brigada D. Francisco Datoli , graduado*</t>
  </si>
  <si>
    <t>Guillermo Bowles</t>
  </si>
  <si>
    <t>recibo. Dios guarde &amp;c. Introducción á la historia natural y á la geografía física de España , por D. Guillermo Bowles: un tomo en 4.0, á 19 rs. en pasta. Anales de historia natural, quadernos i.° hasta el 21, á 8 rs. cada uno en rústica. Se continúa. Elementos físico-químicos de la análisis gener</t>
  </si>
  <si>
    <t>Guillermo Claudio</t>
  </si>
  <si>
    <t>distinguidas circunstancias del Capitán de dragones agregado al Estado mayor de la plaza de Málaga D. Guillermo Claudio, Conde de Aubarede, se ha dignado S. M. señalarle en todos sus dominios el estado de noble de sangre,que le corresponde ,para sí, sus hijos y descendientes, conforme al que obtuvi</t>
  </si>
  <si>
    <t>Guillermo de Baviera, Duque</t>
  </si>
  <si>
    <t>Duque Guillermo de Baviera</t>
  </si>
  <si>
    <t>te, se aceptarán sus ofertas de servicio. Ha llegado á esta ciudad S. A. S. la Princesa, esposa del Duque Guillermo de Baviera, que pasa á Dusseldorf!'. También han venido muchas personas de distinción, entre las quales se halla S. A. S. el Príncipe heredero de Linange y la Princesa su esposa; el Príncipe</t>
  </si>
  <si>
    <t>Guillermo Lavallaz</t>
  </si>
  <si>
    <t>segundo D. Félix llenrique Christen: el de Capitán de granaderos del de Courten al Capitán segundo D. Guillermo Lavallaz: el de Capitán segundo al Teniente de granaderos D. Antonio Rcthen; yen ei de YVimpffen Subtenencia de granaderos al de fusileros D. Francisco Sedar. En ei Real Cuerpo de Artiller</t>
  </si>
  <si>
    <t>Guillermo Pérez Oñana</t>
  </si>
  <si>
    <t>te del mismo cuerpo: á Tenientes' de granaderos en los dé Sigiienza y Chinchilla á los de fusileros D. Guillermo Perez Oñana y D. Francisco Amores: á Tenientes de fusileros en los de Logroño y Pontevedra á l os Subtenientes D. Vicente Ruiz, D. Tomas Anteio y D. Antonio María Romero; y á Subteniente de bande</t>
  </si>
  <si>
    <t>Guillermo, Príncipe</t>
  </si>
  <si>
    <t>Príncipe Guillermo</t>
  </si>
  <si>
    <t>acio no cesaron los aplausos y los vivas.__ Esta noche *e celebrarán los desposorios de S. A. R. el Príncipe Guillermo. Mañana habrá besamanos, y el dia 12 se celebrará él matrimonio, &gt; l K ’ ;■ ; ; AtEMAisfiA.,..;; : Viefta 14 de Enero* El Barón de Sumerau lia sido nombrado gefie del-departamento</t>
  </si>
  <si>
    <t>Reyna madre quitó la corona á la Princesa. Al dia siguiente hubo un espléndido banquete en casa del Príncipe Guillermo, y por la noche dio la Reyna madre cena y bayle. ALEMANIA. Ratisbona 18 de Enero. Ayer presentaron al Comisario principal del Emperador sus nuevas credenciales los Ministros de do</t>
  </si>
  <si>
    <t>e recibida con mucha magnificencia. Ai dia siguiente entró en aquella ciudad el Rey, acompañada del Príncipe Guillermo. ALEMANIA. Munich 2$ de Agosto. La casa fuerte de comercio del Judío Werteimer ha suspendido sus pagamentos, declarándose insolvente: se valúa la quiebra en 1.900® florines. El El</t>
  </si>
  <si>
    <t>Guizaburuaga, Ramón</t>
  </si>
  <si>
    <t>Ramón Guizaburuaga</t>
  </si>
  <si>
    <t>, Arte de D. Torquato Torio, y 2 exemplares de la obra de Gil Blas de Santillana, todos en pasta, á D. Ramón Guizaburuaga, D. Manuel Pedro Marañon, Pedro Battho , natural de Burdeos , D. Julián de Alderete , y D. Joaquín Ferrer: se dieron á los demas certificaciones de su aplicación y aprovechamiento</t>
  </si>
  <si>
    <t>Guldberg</t>
  </si>
  <si>
    <t>ofesor de leyes. La pla^a de Secretario dicen que se la darán á Mr. Rahbeck, literato distinguido—^ Mr. Guldberg, poeta acreditado, hijo del antiguo Ministro de Estado del mismo nombre, ha sido nombrado preceptor de la hija del Príncipe Real. ALEMANIA. Vierta 23 de Abril, Belgrado, la Albani</t>
  </si>
  <si>
    <t>Gumersindo Fernández de Moratins</t>
  </si>
  <si>
    <t>Parroquia de Linares, en la Diócesi de Jaén, vacante por muerte de D. Cosme Fernando de Medina , á D. Gumersindo Fernandez de Moratins para una Ración de la Colegial de Daroca , Diócesi de Zaragoza, vacante por promoción de D. Mateo Bonal á Canongía de la misma Iglesia, á D. Josef Esnariega: para otra de dicha Co</t>
  </si>
  <si>
    <t>Gutierre, Félix</t>
  </si>
  <si>
    <t>Félix Gutierre</t>
  </si>
  <si>
    <t>empleo de Teniente Coronel del Regimiento de Dragones Provinciales de Mechoacan, en Nueva-España, á D, Félix Gutierre? de la Lanza, Capitán agregado al mismc cuerpo.. También se ha dignado S. M, nombrar para la plaza de Alcalde del crimen, vacante en la Audiencia de México por ascenso de D, Josef</t>
  </si>
  <si>
    <t>Gutierre, Julián</t>
  </si>
  <si>
    <t>Julián Gutierre</t>
  </si>
  <si>
    <t>el correó del 17 dé Setiembre remitió 0. Josef de Polde ,'del comercio dé esta Corte, con endoso á D. Julián Gutierre? Cavadilla, vecino de la villa de Laredo, 3 vales Reales: uno de óoo pesos, de t.° de Enero, con el núm. 376,843: otro de 150, de la misma creación, núm. 304,487 ; y otro de 300,</t>
  </si>
  <si>
    <t>Gutiérrez Caviedes, Manuel</t>
  </si>
  <si>
    <t>Manuel Gutiérrez Caviedes</t>
  </si>
  <si>
    <t>Juan Torrontegui Fernandez de Landá , rD. Ambrosio Cerdan y Encalada, . D.*Juan Balzola y AlciSar, D, Manuel Gutiérrez Caviedes, D^ Miguel:dejSoto, K’Jos.ef de la Serna, Juan Güimil, y Camaño, D. Francisco Juistiniani y Ca&amp;rera¿. Ena* fyc/ia.J). Joaquinas la Llave y Coca, D. Casimiro Vigodet y Garnica, I).</t>
  </si>
  <si>
    <t>Gutiérrez de Arredondo, Francisco</t>
  </si>
  <si>
    <t>Francisco Gutiérrez de Arredondo</t>
  </si>
  <si>
    <t>D. Antonio Ladrón dé Guevara, D. Josef de la Peña y D. Josef Estrada, y á Subtenientes de bandera á D. Francisco Gutiérrez de Arredondo y D. Francisco Melgosa , vecinos de aquella provincia. Por el Ministerio de Guerra se ha comunicado con fecha de i.° dé Abril la Real orden siguiente: El Rey , en vista de que el uso</t>
  </si>
  <si>
    <t>Gutiérrez de Bustillo, Ventura</t>
  </si>
  <si>
    <t>Ventura Gutiérrez de Bustillo</t>
  </si>
  <si>
    <t>D. Manuel Zulaetai) IK Antonio Berraondo, D. Juan del Busto, D. Josef Quiroga, D. Dieggo* Venegas, D. Ventura Gutiérrez de Bustillo, D. Josef Roso, D. Joaquínu Aróstegui, D. Joaquín Ibañez de Corvera, D* Josef Valdasano, Dj, Manuel de Cañas, D. Josef del Castillo, D. Manuel de Palacio^11). JAcanta Romarate, D.</t>
  </si>
  <si>
    <t>Gutiérrez de Frias, Domingo</t>
  </si>
  <si>
    <t>Domingo Gutiérrez de Frias</t>
  </si>
  <si>
    <t>n Antonio Ruiz, Racionero de ella: para una Ración de la Catedral de Canaria, vacante por muerte de D. Domingo Gutiérrez de Frias, á D. Domingo García Abreu , Cura del lugar de Tacoronte en la isla de Tenerife; y para la Capellanía Real de la Parroquia de nuestra Señora del Espino, de la ciudad de Soria, vac</t>
  </si>
  <si>
    <t>Gutiérrez de los Ríos, Luis</t>
  </si>
  <si>
    <t>Luis Gutiérrez de los Ríos</t>
  </si>
  <si>
    <t>D. Juan Alvarez Acevedo: Diógenes Laercio, traducción deOrtiz, 2 tomos en 4.0: Kant, Filosofía. 2°: D. Luis Gutiérrez de los Ríos: Condillac, Curso de estudios, 10 tomos en 8.° en 5. 2.0: D. Josef Coitar: Degerando , Arte de pensar, 4 tomos un 8.° mayor. 2.0: D. Francisco Montalvo : Condillac, Origen de los</t>
  </si>
  <si>
    <t>Gutiérrez de Pando, Antonio Ignacio</t>
  </si>
  <si>
    <t>Antonio Ignacio Gutiérrez de Pando</t>
  </si>
  <si>
    <t>o, núm. 429341 , dado á favor de D. J osef Carbó, corredor de cambios en Barcelona: primer endoso á D. Antonio Ignacio Gutiérrez de Pando, en Tarragona : segundo y último á D. Josef Carbó. Quien lo hubiese hallado lo devolverá al citado D. Josef Carbó , en Barcelona, ó á D. Antonio Ignacio Gutiérrez de Pando , en Ta</t>
  </si>
  <si>
    <t>Gutiérrez y Fernández, Martín</t>
  </si>
  <si>
    <t>Martín Gutiérrez y Fernández</t>
  </si>
  <si>
    <t>a, en el reyno de Nueva-España, se ha servido el Rey promover á Capitanes al Teniente de granaderos D. Martin Gutiérrez y Fernandez, y al de fusileros D. Ramón Duran; á Tenientes á los Subtenientes D. Manuel Parodi, D. Fernando Antonio Cambre y D. Josef López Portillo; á Subteniente de granaderos ál Cadete D.</t>
  </si>
  <si>
    <t>Gutiérrez y Ulloa, Antonio Basilio</t>
  </si>
  <si>
    <t>Antonio Basilio Gutiérrez y Ulloa</t>
  </si>
  <si>
    <t>há servido nombrar para la Intendencia ae la PrpVinciV de S; Salvador , en el reynó de Goátemala, á D. Antonio Basilio Gutiérrez y Ulloa, Ministro supernumerario del tribunal de la Contad/uría mayor de Cuentas.- . . r También ha conferido S. M. la Regencia de la Audiencia deL;Ci{zco* vacante por promoción de D. Jos</t>
  </si>
  <si>
    <t>Gutiérrez, Bartolomé</t>
  </si>
  <si>
    <t>Bartolomé Gutiérrez</t>
  </si>
  <si>
    <t>Luengo, D. Manuel Bequer , D. Josef Saravia y D. Joaquín Góngora, y á Tenientes á los Subtenientes D. Bartolomé Gutiérrez, D. Francisco Campo Redondo, D. Antonio Rodriguez de Toro, D. Amadeo de Mora, D. ídatias Moñino y D. Luis García Piña. En los regimientos provinciales se ha servido S. M. promover</t>
  </si>
  <si>
    <t>Gutiérrez, Gaspar</t>
  </si>
  <si>
    <t>Gaspar Gutiérrez</t>
  </si>
  <si>
    <t>cia: para el Arciprestazgo de Cátzadilla, Dignidad de la catedral! de Coria , por fállecimientto de D. Gaspar Gutiérrez, á D.Francisco Santíbañez de Grado, Cura del lugar de los- Hoyos ea aquella diócesis: para una Capellanía de coro de la iglesia primada de Toledo, vacante por promoción de D. Juan</t>
  </si>
  <si>
    <t>Gutiérrez, Luis</t>
  </si>
  <si>
    <t>Luis Gutiérrez</t>
  </si>
  <si>
    <t>os D. Asen-io Ximero; y Tenencias en los de Astúrias y Extremadura á los Subtenientes de granaderos D. Luis Gutiérrez y D. Josef Salgado. También se ha dignado. S. M. conferir Tenencias en los regimientos de infantería del Príncipe , Mallorca, Jaén, y en el batallón de voluntarios de Valencia á los S</t>
  </si>
  <si>
    <t>Gutiérrez, Pablo</t>
  </si>
  <si>
    <t>Pablo Gutiérrez</t>
  </si>
  <si>
    <t>141-25 Pablo Gutiérrez.................. Vargas............................. 141-25 Toribio Perez....................... Puebla de Montalban... 141-25 Gregorio Chico................</t>
  </si>
  <si>
    <t>Gutiérrez, Pedro</t>
  </si>
  <si>
    <t>Pedro Gutiérrez</t>
  </si>
  <si>
    <t>....... 14 3.* del i.° Antonio Ramírez................. Ocafla.................................. 14 D. Pedro Gutiérrez............. Madrid.. 2904.. 2 5 Juan Perez............................ S. Pablo............................... 14 D. Manuel Villaverde, SarJuan Caro..............................</t>
  </si>
  <si>
    <t>Guy Lussac</t>
  </si>
  <si>
    <t>s que ha hecho en las cordilleras de ios Andes, y publicará muy pronto. Le acompañará en este viage Mr. Guy Lussac, sugeto conocido por sus conocimientos físicos, y por los dos viages aerostáticos que ha ¿lecho últi</t>
  </si>
  <si>
    <t>Guzman, Francisco</t>
  </si>
  <si>
    <t>Francisco Guzman</t>
  </si>
  <si>
    <t>e la parroquial de S. Juan de la villa de Alarcon, diócesis de Cuenca, vacante por fallecimiento de D. Francisco Guzman , á D. Miguel Fran-cisco del Villar, Inquisidor del tribunal de aquella ciudad: para los Beneficios de Obanca y Solprio,.diócesis-dé Oviedo, á D. Quintín de Subi‘ranas: para la Me</t>
  </si>
  <si>
    <t>Guzman, Gerónimo</t>
  </si>
  <si>
    <t>Gerónimo Guzman</t>
  </si>
  <si>
    <t>eda yBeri. S. M, se ha servido nombrar Comisario de Artillería honorario:J de Guerra del exército á D. Gerónimo Guzman, Guarda-Almacén ordinario de Artillería. El Rey-se ha servido nombrar Guarda-Almacén ordinario de Artijle.. ría 'en la Maestranza de Segpyia al* de igual clase en. la plaza de Bad</t>
  </si>
  <si>
    <t>Ha-mil, General</t>
  </si>
  <si>
    <t>General Ha-mil</t>
  </si>
  <si>
    <t>ica. Se sabe ahora que Mr. Burr, el Vice-Presidente, era adicto al partido Francés, mientras que el General Ha-mil ton , el amigo de Wasninghton, desaprobaba altamente los proyectos de violencia y de engrandecimiento que manifiesta aquel Gobierno. Después de una larga correspondencia, empezada</t>
  </si>
  <si>
    <t>Ha-wkesbüty, Lord</t>
  </si>
  <si>
    <t>Lord Ha-wkesbüty</t>
  </si>
  <si>
    <t>ción , escarian plenamente satisfechos de la indispensable necesidad dé poner la «n exec u clon. El Lord Ha-wkesbüty replicó disculpando al banco ; y después de una corta explicación que hizo sobre la materia el Lord Grenville, sé leyó el biíll por segunda vez. En lii CSmara de los Comunes se pr</t>
  </si>
  <si>
    <t>Hainílton, General</t>
  </si>
  <si>
    <t>General Hainílton</t>
  </si>
  <si>
    <t>la de Justicia del Estado de Nueva-Gersey, en cuyo territorio se cometió ei delito de la muerte del General Hainílton, reo de homicidio voluntario: y por consiguiente merecedor de la pena, capital. Ei Coronel Burr puede apelar á la Sala suprema de Justicia de los Estados-Unidos , donde se cree qu</t>
  </si>
  <si>
    <t>Haivkesbury, Lord</t>
  </si>
  <si>
    <t>Lord Haivkesbury</t>
  </si>
  <si>
    <t>de S. Petersburgo, declaró solemnemente un noble Secretario de Estado, que ^ya no está en ella [el Lord Haivkesbury, que con titulo de Conde ascendió d la de los Pares)-, declaró que no solamente estaban dispuestos los Ministros á admitir la mediación de la Rusia , si la ofrecía esta potencia,</t>
  </si>
  <si>
    <t>Haller</t>
  </si>
  <si>
    <t>opas francesas que se hallan mun en Su iza, han recibido orden de marchar inmediatamente á Francia. Mr. Haller, uno de los más famosos arquitectos de la Suiza, ha sido comisionado por el Landr Ammán Wattenwyl, para dirigir , ejn nombre del gobierno central, el desagüe de las lagunas de Lin</t>
  </si>
  <si>
    <t>Halley</t>
  </si>
  <si>
    <t>de ellas, por haber aplicado sus conocimientos.en inventarlas. La campana urinatoria, invención de Mr. Halley, que en diversos tiempos se aplicó para extraer del seno de los mares algunas riquezas, en el dia ha recibido el último retoque de perfección. El Presbítero D. Alexandro Jordán, c</t>
  </si>
  <si>
    <t>Hame, Capitán</t>
  </si>
  <si>
    <t>Capitán Hame</t>
  </si>
  <si>
    <t>a costa. El enemigo le cedió el campo de batalla , y se retiró á dos leguas y media de la costa. El Capitán Hame— lin llevaba sus pabellones de distinción y mecha encendida, continuando su ruta quando lo juzgó conveniente, en tan soberbia actitud, sin que intentasen acción alguna los inglese</t>
  </si>
  <si>
    <t>Hamelin, Capitán</t>
  </si>
  <si>
    <t>Capitán Hamelin</t>
  </si>
  <si>
    <t>nes, participándoles que la insurrección ha sido felizmente sosegada. FRANCIA. Aure 24 de Abril, El Capitán Hamelin ha hecho, en presencia de toda la ciudad, una buena maniobra, que ha excitado la mas viva alegría. Se hallaba en. Honñeur con 50 buques de la esquadrilla, todos armados de piezas</t>
  </si>
  <si>
    <t>Hamilton</t>
  </si>
  <si>
    <t>ondencia, empezada con este motivo, apeláron uno y otro á las armas, de lo que resultó la muerte de Mr. Hamilton. El Vice-Presidente se ha visto precisado á esconderse. Antes de ir al desafio Mr. Hamilton extendió un largo escrito, manifestando su extrema repugnancia á aceptar el duelo. Expo</t>
  </si>
  <si>
    <t>Hamilton y del Coronel Burr, General</t>
  </si>
  <si>
    <t>General Hamilton y del Coronel Burr</t>
  </si>
  <si>
    <t>os, recibidos hasta el 22 del pasado, contienen las circunstancias de lo ocurrido en el desafio dei General Hamilton y del Coronel Burr. Según parece , el espíritu de partido domina en América con mucha fuerza de algún tiempo á esta parte. El partido Francés y el Ingles se disputan la preeminencia, y su triunfo de</t>
  </si>
  <si>
    <t>Hamilton, Alexandro (general)</t>
  </si>
  <si>
    <t>General Alexandro Hamilton</t>
  </si>
  <si>
    <t>La noticia mas imp -ríante que contienen ios papeles de América, del 15 de Julio, er» la muerte del General Alexandro Hamilton, muerto en un desafio por el Vice-Presidente de los Estados-Unidos, el 11 del mismo mes. De las causas de este desgraciado suceso nada dicen los papeles, bien que se lamentan en t</t>
  </si>
  <si>
    <t>Hamilton, Conde</t>
  </si>
  <si>
    <t>Conde Hamilton</t>
  </si>
  <si>
    <t>ulta de 50 pesetas al enterrador. Verditn 2 i de Enero. Dos prisioneros ingleses, llamado el uno él Conde Hamilton, han logrado escaparse. Los' que quedan, pasan el día báylándo, cantando y bebiendo. El director de la comedia les preguntó quequales eran las piezas desque mas gustarían; á loque</t>
  </si>
  <si>
    <t>Hamilton, General</t>
  </si>
  <si>
    <t>General Hamilton</t>
  </si>
  <si>
    <t>pompa en la iglesia de S. Estéban. GRAN BRETAÑA. Léndres J&lt;T de Agosto, El desafío, e« que murió el General Hamilton, se verificó el 11 dé Julio éñHeboken , cerca de Nueva-Yorck. Fuéron los padrinos Mr. Vanen y el Juez Pendleton. El General Hamilton fué atravesado de un balazo por medio del cuer</t>
  </si>
  <si>
    <t>or cartas de Nueva-Yorck se sabe que la orden de Cinc innato está en ánimo de erigir una estatua al General Hamilton. Las obras para la demolición de la fortaleza de Francfort habrán comenzado hoy. En Altona se esperaba para el 10 del corriente al Principe heredero de Dinamarca y á sus dos hijas</t>
  </si>
  <si>
    <t>nes del sentimiento general que ha causado en todas las ciudades de los EstadosUnidos la muerte del General Hamilton» La Martinica continúa siendo bloqueada con mucho rigor ; pero no hay esperanzas de que pueda conquistarse sin socorros considerables de Europa. La Guadalupe se mantiene quieta, y</t>
  </si>
  <si>
    <t>te Barr no ha creído conveniente aguardar el efecto del decreto que le declara reo de la muerte del General Hamilton, pues la víspera de la sentencia se ausentó de esta ciudad, refugiándose, á io que dicen, al estado de Deiaware. TURQUIA. Constantino}*la 2$ de Setiembre* El Baxá de Romelia ha te</t>
  </si>
  <si>
    <t>Hamilton, Lord</t>
  </si>
  <si>
    <t>Lord Hamilton</t>
  </si>
  <si>
    <t>la Irlanda, que era la de la unión legislativa, se trató y resolvió durante la guerra pasada. — El Lord Hamilton habló contra la propuesta, reparando en la diferencia sensible que notaba en las expresiones del discurso de S. M., y la de los oradores que proponen y apoyan las providencias ext</t>
  </si>
  <si>
    <t>, Coronel del regimiento número; 52 de infantería, hijo del General en xefe que murió en Egipto; el Lord Hamilton v descendiente del literato de este nombre ; el hijo del célebre Tindal, Corone} &amp;c._Dos personas de consideración han conseguido últimamente su libertad; á saber, Mr. WaiterBoyd,</t>
  </si>
  <si>
    <t>Hamond, Capitán</t>
  </si>
  <si>
    <t>Capitán Hamond</t>
  </si>
  <si>
    <t>al disparar una andanada, y las otras 3 tuvieron que rendirse á las fuerzas de S. M. Británica. El Capitán Hamond, que mandaba la Briosa, ha llegado á Portsmoutfr con la fragata la Fama, y se espera al Capitán Moore con las fragatas Medea y Clara. A bordo de la fragata que se voló habia 300 h</t>
  </si>
  <si>
    <t>Harcourt, Coronel</t>
  </si>
  <si>
    <t>Coronel Harcourt</t>
  </si>
  <si>
    <t>sta acción fué considerable nuestra pérdida. Toda la provincia de Cuttack ha sido conquistada, y el Coronel Harcourt ha tomado por asalto la fortaleza de Barabutty----- El General Wellesley ha concluido un armisticio con Scindia el 5 de Octubre; y f</t>
  </si>
  <si>
    <t>Harding</t>
  </si>
  <si>
    <t>las hembras 10®, sin cofitar los bienes, raices. Desde el observatorio de Lilienthal ha descubierto Mr. Harding, el dia t.° de este mes, un planeta nuevo, que se asemeja mucho á Ceres y £ Palas; actualmente es el mas luminoso de los tres; no presenta nebulosidad ninguna, y apenas se divisa</t>
  </si>
  <si>
    <t>de Lalande ha insertado en algunos periódicos el aviso siguiente: ,,E1 nuevo planeta que descubrid Mr. Harding el 5 de Setiembre, ha continuado retrogradando: el 25 de Octubre estaba á 355 grados y 14 minutos de ascensión recta, y 9 grados y 47 minutos de declinación austral: lo han observad</t>
  </si>
  <si>
    <t>Harinsink, Almirante</t>
  </si>
  <si>
    <t>Almirante Harinsink</t>
  </si>
  <si>
    <t>navio de iínea. LTna fragata de 20 cañones, nombrada Escipion, que se creía ser de la división de- Almirante Harinsink, había arribado algún tiempo antes ai Cabo, y tomado baxo su protección algunos transportes con 2© hombres, destinados, según se suponía, á la Isla de Francia. El Gobierno del Gen</t>
  </si>
  <si>
    <t>Harles</t>
  </si>
  <si>
    <t>aciones Prusianas, y en todos los puertos de Pruiia se haga uso del nuevo preservativo indicado por Mr. Harles. Entre las disposiciones principales del reglamento sobre la censura de los libros dado en Petersburgo, se halla la siguiente : ,, La censura de los libros y escritos publicados p</t>
  </si>
  <si>
    <t>Harniiton, General</t>
  </si>
  <si>
    <t>General Harniiton</t>
  </si>
  <si>
    <t>ercer ningún empleo honorífico, ni votar en dicho Estado durante 20 años. En quanto á la muerte del General Harniiton, como se verificó en el Estado de Nueva-Jersey, el Gr2n Juri no se ha juzgado competentemente* autorizado á temar conocimiento de ella. Por el navio el Príncipe de Gales, que entr</t>
  </si>
  <si>
    <t>Harrowby, Lord</t>
  </si>
  <si>
    <t>Lord Harrowby</t>
  </si>
  <si>
    <t>rán pensiones hasta que se les emplee. GRAN BRETAÑA. Londres 2j de Mayo. , El 17, a la una del dia, Lord Harrowby , Ministro de Negocios extranjeros , tuvo por la primera vez consejo de gabinete, á que asistieron los Embaxadores de Rusia, Prusía y Ñapóles. : Según cartas de la Barbada, hace a</t>
  </si>
  <si>
    <t>ostrar temor de los proyectos de sus antagonistas. Ayer el Embaxador de Rusia tuvo una audiencia de Lord Harrowby, que duró desde las 2 a las 5 de la tarde. Ayer , dia de ayuno general , señalado por el R jy para conseguir de la divina piedad su auxilio, se juñtáron los voluntarios en sus igl</t>
  </si>
  <si>
    <t>d Canciller visitó á Mr. Pitt, y á las 2 de la tarde hur bo Consejo de Gabinete en el despacho del. Lord Harrowby, al qual asistieron el Lord Canciller, el Conde de Cambden, Lord Harrowby:, Lqrd Meiviile, y Mr. Pitt. 4</t>
  </si>
  <si>
    <t>abandonarse las miras de la Inglaterra. El Embaxador de Rusia tiene freqüentes conferencias con el Lord Harrowby, Ministro de Negocios extrangeros. ITALIA. Venecia 79 de Setiembre. Tres dias hace que llegó aquí de Corfú el buque Veneciano del Capitán Viannello, y por cartas que ha traido de</t>
  </si>
  <si>
    <t>a se sabe que Mr. de Stahrenberg, Embaxador de Austria en Londres , ha recibido órdenes de pedir al Lord Harrowby una respuesta categórica acerca del reconocimiento por el Rey de Inglaterra del Emperador de Alemania, comoEmperador hereditario de Austria, y que se le manda retirarse, en el cas</t>
  </si>
  <si>
    <t>Hartes</t>
  </si>
  <si>
    <t>no se renueve , se ha puesto un cordon de húsares por toda la costa. PRUSIA. Berlín 24 de Octubre. Mr. Hartes , Doctor en medicina, y Profesor de la Universidad de Erlang, ha publicado un escrito muy importante sobre el riesgo de la propagación de la liebre amarilla en Europa, en que reco</t>
  </si>
  <si>
    <t>Hartsink, Almirante</t>
  </si>
  <si>
    <t>Almirante Hartsink</t>
  </si>
  <si>
    <t>DA. Utrecht 24 de Enero. El gobierno ha sido sabedor de que la esquaália bátava mandada por el Vice-Almirante Hartsink, de quien no se temía noticia hace mucho tiempo , ha llegado á la rada de Rio-Janeyro. Luego que se ha presentado la esquadra inglesa delante del Texel, se han reforzado todas las</t>
  </si>
  <si>
    <t>Hartsuick, Almirante</t>
  </si>
  <si>
    <t>Almirante Hartsuick</t>
  </si>
  <si>
    <t>ree que el verdadero es la reconquista de Ceylan-----Acaba de llegar un cúter con la noticia que el Almirante Hartsuick llegará dentro de pocos dias con 5 navios de línea, y con orden para que todas las tropas disponibles esten prontas á embarcarse inmediatamente; lo que hace pensar que esta expedi</t>
  </si>
  <si>
    <t>Hassenfratz</t>
  </si>
  <si>
    <t>su cabeza, y algunas veces perecen en medio de convulsiones. (El Monitor.') El ciudadano Hassenfratz ha presentad© al primer Cónsul, por medio del Ministro de lo Interior, una obra intitulada tratado del arte del carpintero, aprobada y adoptada por el Institut</t>
  </si>
  <si>
    <t>Hauser</t>
  </si>
  <si>
    <t>itantes de Waedenschwyl de haber incendiado el castillo, y tanto mas, quanto el ciudadano Hauser, ex-Coinandante del distrito, que según dicen se halla entre los sublevados, tenía en el una cantidad considerable en muebles. En prueba de esto, se debe adver</t>
  </si>
  <si>
    <t>Hauser de Wadens</t>
  </si>
  <si>
    <t>icadas en los últimos alborotos, y que se hallaban ausentes con permiso del Tribunal. Una de ellas, Mr. Hauser de Wadens-* chweil, miembro del Consejo mayor, ha sido destituido de su empleo, y suspenso de sus derechos políticos durante 10 años, y dará una fianza de 2400 florines: á la otra, Mr. Diezi</t>
  </si>
  <si>
    <t>Hausser</t>
  </si>
  <si>
    <t>ciud. ICleinerh de resultas de! proceso formado contra ios alborotadores; y al ciud. Hausser, por la misma causa, lo han encerrado en una cárcel pública, donde permanecerá 15 años. Executadas estas sentencias continuó el tribunal superior del cantón de</t>
  </si>
  <si>
    <t>Hausser, Coronel</t>
  </si>
  <si>
    <t>Coronel Hausser</t>
  </si>
  <si>
    <t>así se decreto por 16 votos. Lucerna, San Gall, Argovia^ Tesino, Turgovia y Vaud no han votado. £1 Coronel Hausser ha sido nombrado Ayudante del Land-Amman; Mr. FinsLer, Qúartel-maestre- general ; el Coronel Lauternau, Inspector de artillería , y Alois- Reding , Inspector general. Se encuentra</t>
  </si>
  <si>
    <t>Hawkes, Lord</t>
  </si>
  <si>
    <t>Lord Hawkes</t>
  </si>
  <si>
    <t>Conde de Darmouth , Lord Chambelán: Lord Ilarrowby, Secretario de Estado para negocios extrangeros: Lord Hawkes— bury, Secretario de Estado para negocios de lo interior: el Conde de Camden para el departamento de la Guerra; y el Lord Thynne, Contralor de la Casa Real, en lugar del Lord Carl</t>
  </si>
  <si>
    <t>Hawkesbury y Lord Canciller, Lord</t>
  </si>
  <si>
    <t>Lord Hawkesbury y Lord Canciller</t>
  </si>
  <si>
    <t>e, Carliíle, Carnason, Eitzwiiliam &amp;c. no se mostraron satisfechos con las explicaciones que dieron Lord Hawkesbury y Lord Canciller; por lo que este punto se ventilará mas despacio en otra junta..También se tratará de; lo mismo en la Cámara de los Comunes.'1 En la junta de la Cámara,de los Comunes del 2 Mr. Gr</t>
  </si>
  <si>
    <t>Hawkesbury, Lord</t>
  </si>
  <si>
    <t>Lord Hawkesbury</t>
  </si>
  <si>
    <t>r GRAN BRETAÑA. Londres gi de Diciembre de i8og. El Lord Hawkesbury ha escrito una carta al Embaxador de Dína~ marca, modificando la declaración que se habia comunicado á este y otros Ministros acreditados cerca.de S. M. B., de que en ningún puer»</t>
  </si>
  <si>
    <t>GRAN BRETAÑA; Londres g de Marzo. &gt; En la junta de la Cámara de los Pares deli.° del corriente, el Lord Hawkesbury contestó á una pregunta que hizo el Lord King sobre la salud del Reyen los mismos términos ,, de que se sirvió anteriormente Mr. Addington eti la de lós Comunes. La qüestion que p</t>
  </si>
  <si>
    <t>4 bergantines y 60 grandes transportes. PARLAMENTO IMPERIAL. Cámara de los Pares. Ei 26 de Marzo el Lord Hawkesbury presentó un mensage.del Rey, -en que informa á la Cámara , que habiéndole ofrecido los oficiales y soldados de varios regimientos de milicias irlandesas emplear sus servicios en l</t>
  </si>
  <si>
    <t>Hawthorne</t>
  </si>
  <si>
    <t>nes propias á producir mucho efecto, y que pueden ser peligrosas en las circunstancias presentes.__ Mr. Hawthorne es de la misma opinión___ El Lord Temple reconoce la necesidad de las providencias propuestas; pero cree que no hay inconveniente en mudar de sistema, observando que lía qiiestion m</t>
  </si>
  <si>
    <t>Hcnrique de Prusia, Príncipe</t>
  </si>
  <si>
    <t>Príncipe Hcnrique de Prusia</t>
  </si>
  <si>
    <t>ffannóver de Agosto* El 20 de este mes S. A. R. el Príncipe Hcnrique de Prusia, hermano del Rey, se desposó en Firmont con la Princesa Carlota, hija menor del Príncipe hereditario de Dinamarca. RatMona 2$ de Agosto. Hoy, á las 11 de la mañana, hubo dictadura</t>
  </si>
  <si>
    <t>Heberden</t>
  </si>
  <si>
    <t>l Consejo de Gabinete, para asistir á S. M., y tuvieron ayer una junta con Sir Francis Miliman y el Dr. Heberden, y todos juntos visitaron á S. M. en aquel dia. El Duque de York tuvo ayer una conferencia con Mr. Addington en . su casa de Dowring-Street. Con motivo de la enfermedad del Rey, e</t>
  </si>
  <si>
    <t>Héctor, Manuel</t>
  </si>
  <si>
    <t>Manuel Héctor</t>
  </si>
  <si>
    <t>Ayudantía en el regimiento de infantemide la Corona al Teniente de granaderos, graduado de Capitán,Don Manuel Héctor: Tenencias en los dé Sevilla y Málaga á los Subtenientes de granaderos D. Josef Miranda y D. Josef Rico; y Subtenencias de</t>
  </si>
  <si>
    <t>Hedonville, General</t>
  </si>
  <si>
    <t>General Hedonville</t>
  </si>
  <si>
    <t>as de Francia, que se ven precisados los mas á volverse á su tierra. PRUSIA. Berlín 26 de Junio. El General Hedonville ha llegado aquí el 22. El 24 comió encasa del Ministro de Francia Mr. Laforest, y al dia siguiente con el Ministro de Estado Mr. de Hartemberg: hoy se habrá presentado á S. M. en</t>
  </si>
  <si>
    <t>Hedouville, General</t>
  </si>
  <si>
    <t>General Hedouville</t>
  </si>
  <si>
    <t>ornos á mediados de Febrero. Por cartas de Petersburgo se sabe que vuelve á Francia con licencia el General Hedouville, habiendo presentado al Príncipe Czartorinski, como Encargado de negocios del gobierno francés, á M . Rivals. Se asegura que la Academia de ciencias de Petersburgo, con la mira de</t>
  </si>
  <si>
    <t>tersburgo %idet Junto» Se van á poner en venta los muebles, vinos y demas efectos que tiene aquí el General Hedouville, Émbaxador de Francia. «. No se ha comunicado aun de oficio á nuestra corte las mudanzas,que se han hecho en* el gobierno frunces. *, . * “ DINAMARCA. " Altond jo de Julio. Escrib</t>
  </si>
  <si>
    <t>Hedowille, General</t>
  </si>
  <si>
    <t>General Hedowille</t>
  </si>
  <si>
    <t>nciones particulares, de donde concluye que la población de la .Rusia debe pasar de 40 millones. El General Hedowille . Ministro de Francia cerca de la corte de Rusia, llegó ayer noche á esta ciudad, donde se detendrá pocoátiempo; pasa á París. GRAN BRETAÑA. Londres 11 de Junio. El Lord M'dgrave</t>
  </si>
  <si>
    <t>Hekel</t>
  </si>
  <si>
    <t>de las Carretas: su precio en pasta 24 rs. y en rústica 20. Recreos morales del ciud. Hekel sobre los asuntos mas importantes al hombre: traducidos del francés al español con varias notas paira su inteligencia y claridad. Se hallará en Ja librería de</t>
  </si>
  <si>
    <t>Henniker, Capitán</t>
  </si>
  <si>
    <t>Capitán Henniker</t>
  </si>
  <si>
    <t>rte se ha publicado el oficio del Contra-Almirante Saumarez, en que anuncia al Almirantazgo, que ei Capitán Henniker ha dado caza el 5 de este mes á 5 lugres armados enemigos, y los ha arrojado al dia siguiente contra las rocas de Gronez. Esta acción ha sido muy bizarra, por quanto el enemigo es</t>
  </si>
  <si>
    <t>Henri, Antonio</t>
  </si>
  <si>
    <t>Antonio Henri</t>
  </si>
  <si>
    <t>el de Húsares Voluntarios á D* Juan Gómez de la PIoz; y el de Alférez en el propio Cuerpo al Cadete D. Antonio Henri. En América. Para el empleo de «Teniente de Rey de la plaza de Campeche ha nombrado S. M. á D. Leandro Poblaciones, Coronel del Real Cuerpo de Artillería. En la extracción de la R</t>
  </si>
  <si>
    <t>Henrique, Príncipe</t>
  </si>
  <si>
    <t>Príncipe Henrique</t>
  </si>
  <si>
    <t>adre emprenderá muy pronto su víage á Nendorf, Carlsruhe y Suiza, en compañía de su hijo segundo ei Príncipe Henrique. Hoy se han concluido las maniobras de la artillería, y S. M» ha quedado satisfecho de este cuerpo en particular* ALEMANIA* Semlin 3 de Junio* Los servios continúan con actividad</t>
  </si>
  <si>
    <t>, el que, según parece, contiene disposiciones muy moderadas. * PRUSIA. Berlín 4 de Setiembre. r El Príncipe Henrique, hermano de nuestro Soberano, ha salido d© aquí para Ludwigsluist, donde se halla ahora la Princesa Carlota, hija del Príncipe heredero de Dinamarca, con quien debe casarse----- S</t>
  </si>
  <si>
    <t>Henriquez, Juan Antonio</t>
  </si>
  <si>
    <t>Juan Antonio Henriquez</t>
  </si>
  <si>
    <t>¿ hijo, calle de las Carretas, y de Corral, calle de los Tintes. Dictamen del Intendente de Marina D. Juan Antonio Henriquez, sobre lo publicado últimamente en razón de las letras , que llaman desconocidas, que se encuentran en las monedas mas antiguas de España. Se hallará en la librería de Claros, cal</t>
  </si>
  <si>
    <t>Henriquez, Manuel Joaquín</t>
  </si>
  <si>
    <t>Manuel Joaquín Henriquez</t>
  </si>
  <si>
    <t>e Ruiz, D. Tomas Anteio y D. Antonio María Romero; y á Subteniente de bandera en el de Pontevedra á D. Manuel Joaquín Henriquez , Cadete del de Orense. En América, En el regimiento de infantería de México se ha servid® el Rey promover á Teniente de granaderos al de fusileros D. Tomas Carrillo; á Teniente d</t>
  </si>
  <si>
    <t>Henry</t>
  </si>
  <si>
    <t>observarse el 21 de Marzo próximo pasado, y es de 21 gr. 43 min. El 11 de Abril el hábil Astrónomo Mr. Henry,que se ha distinguido en la Academia de Petersburgo, salió para medir ios grados de longitud entre Strasburgo y Brest. Esta grande empresa, formada por el General Sansón, director</t>
  </si>
  <si>
    <t>Henry Petty, Lord</t>
  </si>
  <si>
    <t>Lord Henry Petty</t>
  </si>
  <si>
    <t>estando la debilidad en que se hallaba aquel establecimiento. Entre los que apoyaron el examen', el Lord Henry Petty extrañó, que los Ministros se opusiesen á la propuesta en los términos de que se habian servido. Esto es lo mismo que si un Capitán de un barco, á quien se le propusiese en</t>
  </si>
  <si>
    <t>Heraciio Aiaiz</t>
  </si>
  <si>
    <t>oza, y al Ayudante D. Agu.ctin de Alfaraz, ámbos graduados de Capitán: Tenencias i los Subtenientes D. Heraciio Aiaiz y D. Eugenio Delgado; y Subtenencia de bandera al Sargento primero D. Ignacio Solans: y en el de Málaga Subtenencia de bandera al Cadete D. Ignacio de Aguilar y Ozes. E11 el Regimient</t>
  </si>
  <si>
    <t>Heraeterió Velarde</t>
  </si>
  <si>
    <t>sileros de los de Ciudad-Rodrigo y Laredo á los Tenientes de granaderos D.. Eugenio Gil:y Zúñiga,.y D. Heraeterió Velarde : Teniente de granaderos del de Cuenca al de fusileros D. Josef Albornoz‘. Subteniente de granaderos del de Logroño al de fusileros D.: Josef Saturio Ovejas; y Subtenientes de ban</t>
  </si>
  <si>
    <t>Heras, Francisco</t>
  </si>
  <si>
    <t>Francisco Heras</t>
  </si>
  <si>
    <t>141-25 Francisco Heras................... Castel Blanco ...» 141..25 Pedro Saez......................... Villaexcusa de Haro.... 141-25 'Vicente Chelva...........</t>
  </si>
  <si>
    <t>Herck, Manuel</t>
  </si>
  <si>
    <t>Manuel Herck</t>
  </si>
  <si>
    <t>r D. Josef Betegon, Coronel del Real cuerpo de'Artlllería : para el de la de Olivencia al Brigadier Don Manuel Herck , Coronel del Regimiento de infantería de Guadalaxara; y para la Tenencia de Rey de la misma plaza á D. Agustín Esparta ^Teniente Coronel del Real cuerpo de Ingenieros. En América</t>
  </si>
  <si>
    <t>Herdoiza, Carlos</t>
  </si>
  <si>
    <t>Carlos Herdoiza</t>
  </si>
  <si>
    <t>ubteniente de granaderos del mismo D. Manuel de Torres: á Subteniente de granaderos al de fusileros Don Cárlos Herdoiza; y á Subteniente de bandera del mismo á D. Gabriel Bartolomé, Sargento primero de dicho Cuerpo. En el Regimiento de infantería del Rey, íixo de Manila, se ha servido S. M. promove</t>
  </si>
  <si>
    <t>Hermenegildo Ribera</t>
  </si>
  <si>
    <t>. . 141-25 Hermenegildo Ribera........ Colmenar......................... 141..25 Francisco Candado.............. Villacañas...................... 141-25 Santiago Panadero........</t>
  </si>
  <si>
    <t>Hermenegildo Rodríguez de Ribera</t>
  </si>
  <si>
    <t>210 resultado vacante en el mismo Tribunal por fallecimiento de D. Josef Valdés , á D. Hermenegildo Rodríguez de Ribera, Alcalde del crimen mas antiguo; y para esta resulta á D. Antonio Blasco. En América. El Rey se ha servido promover á Subteniente de bandera del regimiento de infantería de Puebla</t>
  </si>
  <si>
    <t>Hermógena y Isidora Morilla</t>
  </si>
  <si>
    <t>o Díaz Moriega. Quien quisiere comprar un oficio de Receptor, propio de D. Manuel Domingo Morilla', Doña Hermógena y Doña Isidora Morilla, hijos y herederos de Don Juan Antonio Rodríguez Moriiía , y vecinos de la villa de Albacete, acuda á tratar de ajuste con D. Rafael JBarceló, Agente de negocios, calle de la Coma</t>
  </si>
  <si>
    <t>Hermosilla, Manuel</t>
  </si>
  <si>
    <t>Manuel Hermosilla</t>
  </si>
  <si>
    <t>imiento de infantería del Rey, íixo de Manila, se ha servido S. M. promover á Capitanes al Ayudante D. Manuel Hermosilla, y al Teniente D. Jayme Linart: á Ayudante al Teniente D. Josef Pardo: á Tenientes de granaderos á los de fusileros D. Francisco Gerónimo García y D. Mateo de la Dehesa: á Tenient</t>
  </si>
  <si>
    <t>Hernández de Urcullo, Mateo</t>
  </si>
  <si>
    <t>Mateo Hernández de Urcullo</t>
  </si>
  <si>
    <t>y Cárdenas, D. Juan Loriga y Reguera, D. [oaquin Aguado y Cañas , D. Ramón Palacio y San Cristóbal, D. Mateo Hernández de Urcullo, D. Antonio del Riosoto y Espino, D. Josef Graces y Graces, D. Manuel Montesoro y Moreno , D. Ramón Ibañez Lo</t>
  </si>
  <si>
    <t>Hernández de Velasco, Gregorio</t>
  </si>
  <si>
    <t>Gregorio Hernández de Velasco</t>
  </si>
  <si>
    <t>o Virgilio Marón , ilustradas con varias interpretaciones y notas puestas en latín y castellano por D. Gregorio Hernández de Velasco, 5 tomos en 8.°, se hallarán en casa de Barco , carrera de S. Gerónimo, en Valencia en Ja de Mallen , en Barcelona en las de Sellent y Sierra, y en Salamanca en la de Blanco. Visi</t>
  </si>
  <si>
    <t>Hernández, Antonio</t>
  </si>
  <si>
    <t>Antonio Hernández</t>
  </si>
  <si>
    <t>iente, D. Josef López, D* Silvestre Ramírez y D. Felipe Carvajal, al Sargento primero de granaderos D. Antonio Hernández, y al Cadete £L Tomas Feroz GuerraPor el Excnio- Sr. £). Josef Antonio Caballero se ha comunicado á la Cámara de Castilla la Real orden siguiente: „Excmo. Sr.: Queriendo el Rey qu</t>
  </si>
  <si>
    <t>Hernández, Francisco</t>
  </si>
  <si>
    <t>Francisco Hernández</t>
  </si>
  <si>
    <t>141-25 Francisco Hernández........... Villarejo de Salvanes... 14i-i5 Vicente Ortiz...................... Zaragoza.......... ....... 141.25 Antonio Fernandez.....</t>
  </si>
  <si>
    <t>Hernández, Joaquín</t>
  </si>
  <si>
    <t>Joaquín Hernández</t>
  </si>
  <si>
    <t>a 17 de Junio, habiendo correspondido los 4 ordinarios á D.-Rarntin Guillen, D. Juan Bautista Veza, D. Joaquín Hernández y D. Francisco Clemente: y á D. Josef Peirot y D. Fernando Bermudez los s extraordinarios , que han costeado el Marques de Beniel y D. Ambrosio Alvarez, habiendo merecido los mayores</t>
  </si>
  <si>
    <t>Hernández, Juan</t>
  </si>
  <si>
    <t>Juan Hernández</t>
  </si>
  <si>
    <t>odía con la Iglesia, á poniente tierra que fué de Pedro López Moratilla, y á la sierra herederos de D. Juan Hernández, de 2 fan. y 6 cel., a7oors. Otra antes de la anterior , á la subida del barranco, de 1 fan., linde á oriente con dichas memorias, y á la sierra la vereda de los Escobares, en 700</t>
  </si>
  <si>
    <t>141-25 Juan Hernández................... Fuensalida.......................... 14 Lorenzo Sánchez.-............... Calatayud................. 141-25 Cristóbal Mon</t>
  </si>
  <si>
    <t>Hernández, Manuel</t>
  </si>
  <si>
    <t>Manuel Hernández</t>
  </si>
  <si>
    <t>141-25 Manuel Hernández.............. Castro nuevo.................. 141-25 Juan Perez........................... Atazon.......... 141-25 Juan León...................</t>
  </si>
  <si>
    <t>Hernández, Sebastián</t>
  </si>
  <si>
    <t>Sebastián Hernández</t>
  </si>
  <si>
    <t>e Urrutia y las. Casas, Capitán General de los Reales ejércitos de S. M., escrito por el presbítero D. Sebastian Hernández de .Morejon, Cuca de los . Reales hospitales General ¡y de la Pasión de esta corte. Se -hallará en la librería de Perer, calle de las Carretas. Arte de torear á caballo y á pie: un t</t>
  </si>
  <si>
    <t>Hernández, Simón</t>
  </si>
  <si>
    <t>Simón Hernández</t>
  </si>
  <si>
    <t>e edad de 5 años y medio, y á María Basilia Merino___.En la escuela de primeras letras, al cargo de D. Simón Hernández, fueron premiados Antonio María Cantalapiedra, Isidoro Ajo íturbe , Tiburcio Sentoncha y Benito Trascasas, habiéndose concedido el arcessit á Pedro Crisólogo Oliveros----- En la d</t>
  </si>
  <si>
    <t>e S. Juan, Baldomera de Ara, Petra Fernandez y María Fernandez. En la escuela de primeras letras de D. Simón Hernández obtuvieron el primer premio Guillermo Goinez, Santiago Cela, Dionisio Salgado y Lucas Martin; y el segundo Tomas González y Antonio Iglesias. En la escuela de D. Tomas López se di</t>
  </si>
  <si>
    <t>Herníir, Juan</t>
  </si>
  <si>
    <t>Juan Herníir</t>
  </si>
  <si>
    <t>e de r fan y 6 cel., linde á.oriente herederos de Isabel Laso de la Vega, y a mediodía herederos de D. Juan Herníir, á 250 rs. Otra en las Arroturas, de 2 fan., linde á oriente con Josef González, á mediodia herederos de Juana González, y a poniente y sierra la villa , á 300 rs. Otra en la Alob</t>
  </si>
  <si>
    <t>Herran, Joaquín</t>
  </si>
  <si>
    <t>Joaquín Herran</t>
  </si>
  <si>
    <t>o de 3 del corriente, ha aprobado el remate celebrado en 21 de Noviembre último por. el Sr. Alcalde D. Joaquín Herran, en la cantidad, de 66$ rs. en vales Reales, de una casa sita en la calle del Factor de esta corte, núm. 6, mánz. 440, señalando para la mejora del quarto el término de 30 dias co</t>
  </si>
  <si>
    <t>del corriente, ante el Sr. Alcalde D. Mariano Alonso, que por indisposición de su compañero el Sr. D. Joaquín Herran despacha su audiencia y negocios, y escribanía de. provincia de D. Miguel García de la Madrid , que se admitirán las que se hiciesen, siendo la mitad en metálico.zzQuien quisiere hac</t>
  </si>
  <si>
    <t>r postura á dicha casa, acuda en el término de 30 días, contados desde 22 del presente, ante el Sr. D. Joaquín Herran, y por la escribanía de provincia de D. Miguel Josef García de la Madrid. Se halla vacante la plaza de Médico de la villa de Aiíover deTajo , partido de Toledo, distante 4 leguas</t>
  </si>
  <si>
    <t>s Peales, acuda ante el Sr. Al aíde D. Mariano Alonso, que por indisposición de su compañero el Sr. D. Joaquín Herran, despacha su audiencia y negocios, y por la escribanía de provincia de D. Miguel Josef García de la Madrid, que se lt admitirán las que hiciesen hasta el dia 24 del corriente , en</t>
  </si>
  <si>
    <t>provincia,por su decreto de 2 del corriente, ha aprobado el r,é mate, celebrado por-el Sr. Alcalde D. Joaquín Herran en 24 de May» próximo pasadoj-de üiía casa, sita en el portal de Provincia, núm. i7,manz. 162, en, 89,414 rs. en'vales Reales;,'y para la mejora déhqúártó ha señalado 30 dias de tét</t>
  </si>
  <si>
    <t>Herrani, Joaquín</t>
  </si>
  <si>
    <t>Joaquín Herrani</t>
  </si>
  <si>
    <t>, que. fué Ingeniero hidráulica de S. M. Coy de Jas fábricas de¡ jE*r paña, comparecerán ante el Sr.D. Joaquín Herrani, del Consejo de.M., j&amp;Ifaíde de su Real casa y corte , y escribanía de provincia de D. Miguel ,J[osef Qarpía^ la Madrid , dentro del término de,dias, contados desde el ,7 déreste</t>
  </si>
  <si>
    <t>Herranz, Joaquín</t>
  </si>
  <si>
    <t>Joaquín Herranz</t>
  </si>
  <si>
    <t>e ha servido nombrar para la plaza de Alcalde de su Real casa y corte, vacante por fallecimiento de D. Joaquín Herranz, ¿ Don Francisco Xavier Duran: para la de Oidor, que este dexa en la Chancillaría de Valladolid, á D. Antonio Apellaniz, Alcaide del crimen mas antiguo de ella; y para esta result</t>
  </si>
  <si>
    <t>Herrera Prieto, Matías</t>
  </si>
  <si>
    <t>Matías Herrera Prieto</t>
  </si>
  <si>
    <t>de Alcalde mayor Teniente general del Señorío de Vizcaya, con residencia en la villa de Guernica, á D. Matías Herrera Prieto: para la de la villa de Mazarron á D. Tadeo Rico Bononat; y para la de Puigcerdá, que este dexa, á D. Joaquin López Olivas. En América. En el batallón de infantería ftxo de Veracr</t>
  </si>
  <si>
    <t>Herrera, Francisco</t>
  </si>
  <si>
    <t>Francisco Herrera</t>
  </si>
  <si>
    <t>ntonio Sanchez.Tam- Francisco Herrera................ Aldea nueva................... 141-25 bor—................................ Bcrgantiños............... 141-25 Francisco Nicolás...............</t>
  </si>
  <si>
    <t>eniente al Alférez D. Josef Miguel; á Alférez al Portaguión D. Félix Malo, y á Portaguión al Cadete D. Francisco Herrera. * La ciudad de Náxera, en la provincia de la Rioja , en virtud de Real privilegio, ha celebrado de algunos siglos á esta parte una feria anual por término de 15 dias , que debian</t>
  </si>
  <si>
    <t>Herrero, Bernardo</t>
  </si>
  <si>
    <t>Bernardo Herrero</t>
  </si>
  <si>
    <t>el Beneficio mayor simple servidero del lugar de Muriel, en el obispado de Avila, que ha renunciado D. Bernardo Herrero, Cura de Pozal de Gallinas, para el que S. M. le había nombrado, por no poder residirlo con el expresado Curato, á D. Agustín Rebollo. También ha venido S. M. en nombrar para la p</t>
  </si>
  <si>
    <t>Hersinger</t>
  </si>
  <si>
    <t>llegaron aquí de Maguncia dos gendarmes franceses % que se apearon en casa del ciud. Hersinger, Ministro residente de la República francesa, el qual inmediatamente pasó al Senado á hablar en nombre de su gobierno. Al medio día ios dependientes de la poli</t>
  </si>
  <si>
    <t>Hervás, Lorenzo</t>
  </si>
  <si>
    <t>Lorenzo Hervás</t>
  </si>
  <si>
    <t>cidas, y numeración, división y clases de estas según,la diversidad de sus idiomas y dialectos, por D. Lorenzo Hervás, Bibliotecario de N. SS. P. Pío vij : tomo 5.0 Continuando el autor la materia del precedente sobre las naciones europeas primitivas, y con particularidad la que pobló á España, d</t>
  </si>
  <si>
    <t>Heurique-Nieto</t>
  </si>
  <si>
    <t>Delgado y Josef Altamira; y el segundo á Eugenio Ferrari, Isidoro Sánz y Venancio Oscar\z. En la de D. Heurique-Nieto recibiéron el primer premio Eugenio Sangrador, Mariano Ruiz Muías, Juan Eustasio Aparicio y Leonardo Gonzale-z Valbuena; y el segundo Cenon Vayon, Fermín-Fernandez , Isidoro Garcí</t>
  </si>
  <si>
    <t>Heyter</t>
  </si>
  <si>
    <t>literarios, aue desenvuelvan los tesoros ocultos de las letras y de las ciencias. En conseqiíencia Mr. Heyter, se halla hace ya mucho tiempo en Ñapóles empleado en ena importante ocupación. Antes que el Príncipe de Gales interviniese en esta ilustre empresa, se habían desenvuelto 18 manus</t>
  </si>
  <si>
    <t>Hidalgo, Joaquín</t>
  </si>
  <si>
    <t>Joaquín Hidalgo</t>
  </si>
  <si>
    <t>á Capitanes segundos á los Tenientes D. Luis Menendez, D. Ignacio Cincúnegui, D. Pascual Antillon, D. Joaquín Hidalgo, D. Joa'quin Lirón, D. Francisco Bermudez y D. Josef de Córdoba. En los regimientos provinciales ha promovido S. M. á Coronel del de Soria al Teniente Coronel de infantería y Capi</t>
  </si>
  <si>
    <t>Hidalgo, Joaquín Francisco</t>
  </si>
  <si>
    <t>Joaquín Francisco Hidalgo</t>
  </si>
  <si>
    <t>as con parte de la costa firme hasta Cumaná, por D. Cosme Churruca, Brigadier de la R eal Armada, y D. Joaquin Francisco Hidalgo, Capitán de Navio de ella....... ............................... 12. 10. Idem de las islas Caribes de Sotavento , por el Brigadier de Marina D. Cosme Churruca— Esta ya grabada est</t>
  </si>
  <si>
    <t>Hidalgo, Juan</t>
  </si>
  <si>
    <t>Juan Hidalgo</t>
  </si>
  <si>
    <t>Real y Segovia á D. Josef María Viguera, D. Félix Mateo Rodríguez Aparicio, D. Carlos Pelayo Tolrá, D. Juan Hidalgo y D. Manuel Eduardo Gorostiza y Cepeda. Por Escribanía de la Cámara y de Gobierno del Consejo Real se ha comunicado, con fecha de 28 de Junio, la circular siguiente: ,,Por la orden ci</t>
  </si>
  <si>
    <t>Hijósa, Manuel</t>
  </si>
  <si>
    <t>Manuel Hijósa</t>
  </si>
  <si>
    <t>segundó grado: su autor D.'Antonio Rosell, á 22 rs. en pasta. Compendjo de Geometría práctica,, por D. Manuel Hijósa: un tomo en 8.®, á 13 rs. en pasta. v La Orictognosia, escrita en afémap por Widenmann: dos tomos en 8.a mayor, i 59 rs. en pasta. Esta obra, traducida por D. Cristiano Herrgen, c</t>
  </si>
  <si>
    <t>Hilario García</t>
  </si>
  <si>
    <t>. 141-25 Hilario García..................... Brias. 141..2 5 Francisco Gascón.............. .. Trasobales................. . 141-25 2.a uur. 2.°</t>
  </si>
  <si>
    <t>Hilario Muntalt</t>
  </si>
  <si>
    <t>tro de la parroquial de Tordera, diócesi de Gerona, vacante por muerte de D. Juan Bautista Comas, á D. Hilario Muntalt; y para otro de la parroquia de Figueras, en la propia diócesi, vacante por fallecimiento de D. Francisco Basedas, á D. Francisco Calcina. En la Compañía Americana del Real cuerpo</t>
  </si>
  <si>
    <t>Hilarión de la Quintanay Teniente</t>
  </si>
  <si>
    <t>ros D.; Josef Bergaña., D* Mauricio Fornell y D- Josef Villa, al de fusileros D. Pedro Aidecoa y á; D. Hilarión de la Quintanay Teniente del regimiento de infantería-de Voluntarios de Castilla , y á Subtenientes de granaderos á los de fusileros D. Sebastian Pizarro, D. Joaquín Téran y D; Víctores Navajas* Enterado el R</t>
  </si>
  <si>
    <t>Hilarión Rodríguez</t>
  </si>
  <si>
    <t>rtínez del Corro: en el de Valencia al Sargento primero de granaderos D. Pedro Galiano, y al Cadete D. Hilarión Rodríguez: en el de Hibernia al Sargento primero D. Carlos Tiorati: en el de América al Cadete D. Manuel Xuarez Negron; y en el de Voluntarios de Estado al Cadete del de Reales Guardias Esp</t>
  </si>
  <si>
    <t>Hill</t>
  </si>
  <si>
    <t>estigos oculares de la eficacia que tiene la vacuna de impedir la propagación de las viruelas. Dixo Mr. Hill , que en todo el año pagado había inoculad.» 1600 personas, según las reglas de Jenner, y que en todos se habían experimentado los efectos que se deseaban. Añadió que nada era mas</t>
  </si>
  <si>
    <t>Hipólito Gutierre</t>
  </si>
  <si>
    <t>legio médico-browttiano, que se establece eti una cofradía,de ciegos: carta de D. Neófilo Miranda á D. Hipólito Gutierre?, dándole cuenta de este proyecto. Publícala el Dr, D. Francisco Llansoj, primer, Médico de la villa áe Alcira, socio íntimo de la Real Academia de Medicina práctica de Barcelona</t>
  </si>
  <si>
    <t>Hipólito Ruiz</t>
  </si>
  <si>
    <t>mia Médica de Madrid, y se ilustra nuevamente con notas y con la estampa.de la planta, por su autor D. Hipólito Ruiz, primer Botánico de la expedición del Perú , agregado al Real Jardín Botánico de Madrid, Académico numerario de dicha Academia, y actual Secretario del Real Colegio de Boticarios</t>
  </si>
  <si>
    <t>Hobart, Lord</t>
  </si>
  <si>
    <t>Lord Hobart</t>
  </si>
  <si>
    <t>20.Í Jesa hizo un discurso al presentar las banderas, las que recibió el Lord Hobart arrodillándose, como si la P.eyna estuviese presente. Lué grande el concurso cjue asistid á esta ceremonia. Se^un las cartas de Dover, parece que lo que ha dado motivo á po~ 'ner</t>
  </si>
  <si>
    <t>a misma gazeta se ha publicado el extracto de una carta de Federico North, Gobernador de Ceyian, al Lord Hobart, uno de los principales Secretarios de Estado, con fecha de Columba el 8 de Julio, en la que da cuenta de que el 24 de Junio , el primer Adigar acometió la ciudad de Candy durante</t>
  </si>
  <si>
    <t>Hobhouse</t>
  </si>
  <si>
    <t>á los curas pensionados se leyó por la segunda vez, y se pasó á una ¡unta para que diese informe___ Mr. Hobhouse dio el informe sobre el bilí para prevenir la deserción de los marineros: se aprobó; y el lunes se leerá por tercera vez.__ El Chanciller del Echiquier pide que se tráte del asunt</t>
  </si>
  <si>
    <t>Holandés Verheul, Almirante</t>
  </si>
  <si>
    <t>Almirante Holandés Verheul</t>
  </si>
  <si>
    <t>te en/Calais compondrán el ala derecha de la esquadrilla que debe invadirnos. Están mandados por el Almirante Holandés Verheul, quien durante las nieblas y los vientos recios de E. que reynáron en la costa dé Francia, pudo penetrar allí desde Ostende. Por consiguiente, se unirán con los que se hallan reun</t>
  </si>
  <si>
    <t>Holandés Verhnel, Almirante</t>
  </si>
  <si>
    <t>Almirante Holandés Verhnel</t>
  </si>
  <si>
    <t>os de este hermoso y rico texido. Escriben del Haya que el Emperador ha dado orden para que al Vice-Almirante Holandés Verhnel se le hagan los mismos honores militares que á un Mariscal del Imperio. El famoso compositor Paesiello ha salido para ir á Ñapóles, quedando con este sentimiento los músicos de la</t>
  </si>
  <si>
    <t>Holvers</t>
  </si>
  <si>
    <t>ta nebulosidad ninguna, y apenas se divisa sensiblemente su disco con los anteojos de mayor fuerza. Mr. Holvers , Astrónomo de Brema, conceptúa que este nuevo planeta es verosímilmente, bien así como Ceres y Palas, un fragmento de otro planeta de mayor tamaño, que habrá sido hecho pedazos p</t>
  </si>
  <si>
    <t>Home Popham</t>
  </si>
  <si>
    <t>cia, ha vuelto á ocupar sus puestos.__El dia 22 el Lord Keith, á bordo del Monarca, y acompañado de Sir Home Popham en un lugre, han examinado de nuevo el verdadero estado de los preparativos del enemigo. Se ha dicho que uno de los objetos de este viage es el averiguar el efecto que puede produci</t>
  </si>
  <si>
    <t>Hongton, Coronel</t>
  </si>
  <si>
    <t>Coronel Hongton</t>
  </si>
  <si>
    <t>uno de los convidados fué Sidney-Smith. El Príncipe de Gales celebró este dia en Brighton. El 14 el Coronel Hongton traxo pliegos de Bengala por la vía de tierra, con la noticia de que el Marques de Wellesley habia ratificado los tratados ajustados por el General Wellesley en nombre del Gobiern</t>
  </si>
  <si>
    <t>Honorato Glimes de Brabante</t>
  </si>
  <si>
    <t>etiembre último falleció en esta Corte, á los 79 años, 2 meses y 16 dias de su edad , el Excmo. Sr. D. Honorato Glimes de Brabante, Conde de Glimet &amp;c., Comendador de Belvis de la Sierra en la Orden de Alcántara, Gentilhombre de Cámara de S. M. con exercicio, Grande de España de ^primera clase, y Capitán Gene</t>
  </si>
  <si>
    <t>Honorato Lance</t>
  </si>
  <si>
    <t>eniente, graduado de Capitán, D. Juan Cebollino; y Subtenencia de bandera en el de :Soria al Cadete D. Honorato Lance. ' . Habiendo determinado el Rey separar el Corregimiento de Madrid de la Intendencia de la provincia, se ha servido nombrar para ella , con los honores de Intendente de Exército,</t>
  </si>
  <si>
    <t>Hoppensack, Juan Martín</t>
  </si>
  <si>
    <t>Juan Martín Hoppensack</t>
  </si>
  <si>
    <t>701 D. Anastasio de Garro, Capellán de altar del Real convento de la Encarnacicii^^ ^ concedido á D. Juan Martin Hoppensack, Director dé minas, Real privilegio para beneficiar las de plata de Guadalcanal, Cazalla y sus agregados, concediéndole facultad para formar a dicho fin en el extrangero una compa</t>
  </si>
  <si>
    <t>Hor, Domingo</t>
  </si>
  <si>
    <t>Domingo Hor</t>
  </si>
  <si>
    <t>D. Aíiguél Labrador', Racionero de la misma-: para una Ración de la propia colegial, por ascenso de D. Domingo Hor.tigilela á Canongía de la misma, á D. Matías Casado,</t>
  </si>
  <si>
    <t>Hornemann</t>
  </si>
  <si>
    <t>la tempestad en la rada de Copenhague dos transportes con tropas Suecas destinadas á la Pomerania. Mr. Hornemann, que viene de Londres de vuelta de. su viage por lo interior del Africa, ha sido recibido con mucha distinción por las Sociedades Africanas. Ha sido tan grande el frió que ha.hech</t>
  </si>
  <si>
    <t>Horner</t>
  </si>
  <si>
    <t>a para Rio-Janeyro, donde permanecerán 3 semanas, durante las quales establecerá su observatorio el Dr. Horner. El Gobernador español se ha portado con tal actividad, que ha conseguido que llegasen los pliegos, desde Tenerife á Petersburgo, en 7 semanas contadas desde el dia de la fecha. S</t>
  </si>
  <si>
    <t>Horrer</t>
  </si>
  <si>
    <t>del banco de Vie112. El Procurador Imperial cerca del tribunal de justicia criminal de esta ciudad, Mr. Horrer, miembro de la Legión de honor, ha extendido la acta de acusación, la qual es muy voluminosa, y apénas contiene la tercera parte de los implicados en este asunto. Según nuestras l</t>
  </si>
  <si>
    <t>Horruitiner, Joaquín</t>
  </si>
  <si>
    <t>Joaquín Horruitiner</t>
  </si>
  <si>
    <t>habiendo también promovido á Capitán al Ayudante D. Manuel Castellanos: á Ayudantes á los Tenientes D. Joaquin Horruitiner, de granaderos, y D. Esteban Menocal: á Teniente de granaderos ai de fusileros D. Gil Josef Pacot: á Tenientes ¿ los Subtenientes D. Manuel Vázquez , Don Francisco Acosta y D. Ram</t>
  </si>
  <si>
    <t>Hortigiiela, Domingo</t>
  </si>
  <si>
    <t>Domingo Hortigiiela</t>
  </si>
  <si>
    <t>D. Tomas Dobon;. para otra' Ración de da colegial, de Roay eiu el obispado de Osma, por ascenso de-D. Domingo Hortigiiela a Canongía de la misma, á D. Mafíás*Cásado, Cura dé Vaídegruíla y su anexó'en el propio obispado: páíá¥ uria Mediá-Rábióii dé ia catedral de$egovia, vacante por promoción</t>
  </si>
  <si>
    <t>Hovart, Lord</t>
  </si>
  <si>
    <t>Lord Hovart</t>
  </si>
  <si>
    <t>igidos á las diversas -presidencias de la India, anunciándoles el principio de las hostilidades. El Lord Hovart no halla fundada la propuesta del preopinante. Sin duda hay casos en que se debe pedir á los Ministros cuenta de su conducta; pero esto es quando se trata del empleo de los caudal</t>
  </si>
  <si>
    <t>Huelba, Diego Martín</t>
  </si>
  <si>
    <t>Diego Martín Huelba</t>
  </si>
  <si>
    <t>s un suplicatorio por la Real Audiencia de México para que-se soliciten los albaceas ó herederos de D. Diego Martin Huelba , que según refiere el mismo suplicatorio se hallaba avecindado en Ja ciudad de Cádiz á principios del siglo pasado, con el objeto de que acudan á deducir su acción y legitimar su</t>
  </si>
  <si>
    <t>Huguet, Pedro</t>
  </si>
  <si>
    <t>Pedro Huguet</t>
  </si>
  <si>
    <t>.... D. Vicente Perez de Tejada. En Zaragoza....... . D. Tomas de la Madrid. En Zeuta............ . D. Pedro Huguet, comisionado subalterno del de Cádiz. Él Consejo, á consulta de la Comisión gubernativa de Consolidación deVaies, y con aprobación deS. M. , ha acordado la sexágesimaquarta amorti</t>
  </si>
  <si>
    <t>.......... D. Vicente Perez de Tejada. En Zaragoza."..". D. Tomas de la Madrid. : ' 4 En Z¿uta...." D. Pedro Huguet , comisionado subalterno del de Cádiz. ■ ■* El Consejo, á consulta de la Comisión gubernativa de Consolidación de Vales, y con aprobación de S. M., ha acordado la sexágesimaséptim</t>
  </si>
  <si>
    <t>HUI</t>
  </si>
  <si>
    <t>a, saldrá de aquí el día 4 del mes próximo para su nuevo destino. Ayer presentó á la familia Real á Mr. HUI, su sucesor. Han entrado ayer en este puerto muchos Buques procedentes de las</t>
  </si>
  <si>
    <t>Huíchinson, Coronel</t>
  </si>
  <si>
    <t>Coronel Huíchinson</t>
  </si>
  <si>
    <t>ancés, que procuraba trastornad el Imperio británico, armando una parte de él contra la otra &amp;c. El Coronel Huíchinson elogió la moderación y la dulzura Con que el gobierno Ipibia Pro* cedido para reprimir la última rebelión de Irlanda j jr se condolió de que</t>
  </si>
  <si>
    <t>Humboldt</t>
  </si>
  <si>
    <t>cupar las orillas del Weser, é interceptar la navegación del rio á los buques ingleses. Un amigo de Mr. Humboldt ha remitido , para que se inserte en las. gazetas, el artículo siguiente: ,, La noticia del fallecimiento de Mr. de Humboldt, anunciada estos dias en los periódicos, es una pérdid</t>
  </si>
  <si>
    <t>638 pais Mr. Humboldt, ;y habrá emprendido, por verla, otro víage á Acapulco, situada á 8o leguas al S. O. de México, quedándose todavía por visitar tantos terrenos de Nueva-España ? Permítasenos susci</t>
  </si>
  <si>
    <t>Humphreys, Coronel</t>
  </si>
  <si>
    <t>Coronel Humphreys</t>
  </si>
  <si>
    <t>e han distribuido premios, que ascienden á 700 pesos fuertes, y, entre ellos, una medalla de oro al Coronel Humphreys , por haber traído de España una porción de carneros merinos, loa primeros que se han visto en los Estados-Unidos. Mr. Bordey, que es un colono Americano de los mas instruidos, ac</t>
  </si>
  <si>
    <t>Hunter, Capitán</t>
  </si>
  <si>
    <t>Capitán Hunter</t>
  </si>
  <si>
    <t>edro para sacar todas las embarcaciones francesas que se hallaban en él. El mismo oficial mostró al Capitán Hunter un plano del re^ferido puerto , en que estaba señalada la respectiva posición de dichas embarcaciones, según los informes que se habían tensado de varios pescadores , para que le</t>
  </si>
  <si>
    <t>Hurtado, Antonio</t>
  </si>
  <si>
    <t>Antonio Hurtado</t>
  </si>
  <si>
    <t>Valladares y.Don Agustín Bueno, Teniente y Subtenientes del regimiento de infantería de Mallorca; á D. Antonio Hurtado, D. Josef Navarro, D. Francisco Ruarte, D. Miguel Ruano, D. Juan Pablo Sebastian y D. Andrés, A rango, Subtenientes de los de Güadalaxara, Princesa , Valencia , Navarra y Granada</t>
  </si>
  <si>
    <t>Hurtado, Lorenzo</t>
  </si>
  <si>
    <t>Lorenzo Hurtado</t>
  </si>
  <si>
    <t>........... 141..25 Lorenzo Hurtado................ Tarancon......................... 141 •25 Ignacio Tenorio........;........ . Fuenáalida....................... 141..25 Dionisio Esteban................. Tamaj</t>
  </si>
  <si>
    <t>Hutchinson, Coronel</t>
  </si>
  <si>
    <t>Coronel Hutchinson</t>
  </si>
  <si>
    <t>tá bien convencido de que si los ingleses se reúnen ., pueden solos y sin aliados desafiarlo.”__ El Coronel Hutchinson dixo, que estaba de acuerdo con el Ministro en casi todos los puntos sobre que había discurrido : manifestó altamente su aprobación de la conducta que ha observado el gobierno de</t>
  </si>
  <si>
    <t>x aprueba la propuesta, y manifiesta la satisfacción que le causó la primera parte del discurso del Coronel Hutchinson, sintiendo lo haya terminado con unas reflexiones propias á producir mucho efecto, y que pueden ser peligrosas en las circunstancias presentes.__ Mr. Hawthorne es de la misma opin</t>
  </si>
  <si>
    <t>I Diego Rodríguez</t>
  </si>
  <si>
    <t>II3I Diego Rodríguez, vecino de ella, hasta el día 20 de Enero próximo, en que se fixa su provisión» Memorial literario, núm. ixv: contiene el extracto de la obra sobre el aceyte y su cultivo -, otro del Dial</t>
  </si>
  <si>
    <t>I-fenrique de la Mata Linares</t>
  </si>
  <si>
    <t>, y a Alféreces á los Portaguiones DV Lorenzo Alcorte y-D. Manuél Arenzaua A D. I-fenrique dé la Mata Linares, Coronel del Regimiento de infantería de Granada, ha conferido el Rey el gobierno militar y político de la ciudad de Cervera en Cataluña, por permuta que ha solicitado y ha tenido a bien S</t>
  </si>
  <si>
    <t>Ibáñez de Corvera, Joaquín</t>
  </si>
  <si>
    <t>Joaquín Ibáñez de Corvera</t>
  </si>
  <si>
    <t>uiroga, D. Dieggo* Venegas, D. Ventura Gutiérrez de Bustillo, D. Josef Roso, D. Joaquínu Aróstegui, D. Joaquín Ibañez de Corvera, D* Josef Valdasano, Dj, Manuel de Cañas, D. Josef del Castillo, D. Manuel de Palacio^11). JAcanta Romarate, D. Josef Corones, D. Nicolás de la Vega, D/MamutE Lasqucti, D. Ramón R</t>
  </si>
  <si>
    <t>Ibáñez Lo, Ramón</t>
  </si>
  <si>
    <t>Ramón Ibáñez Lo</t>
  </si>
  <si>
    <t>Urcullo, D. Antonio del Riosoto y Espino, D. Josef Graces y Graces, D. Manuel Montesoro y Moreno , D. Ramón Ibañez Lo</t>
  </si>
  <si>
    <t>Ibáñez, Manuel</t>
  </si>
  <si>
    <t>Manuel Ibáñez</t>
  </si>
  <si>
    <t>a.piedra : y el de tercera se concedió á D. Antonio Cordero j D. Josef Hervas, D. Josef del Campo,. Don Manuel Ibañez, D-. Francisco Apliegas , D. Tomas Pereda, D. Santiago Mela, D. Manuel Pozo Cáceles y D. Gerónimo Mauricio Buey. El primer premio consistía en la obra de Adam Smith sobre la inves</t>
  </si>
  <si>
    <t>de D. Gervasio Fernandez Izquierdo, se cita llama y emplaza a los acreedores de Manuel Ibañez, vecino que fue del lugar de Ge,afe, para que dentro de 50 dias, que por primer término se les señala, contados desde el día 4 del presente, comparezcan ante S. S. y expresada escribanía</t>
  </si>
  <si>
    <t>Ibargiien, Felipe</t>
  </si>
  <si>
    <t>Felipe Ibargiien</t>
  </si>
  <si>
    <t>Castillo, D. Vicente María Saavedra, D. Miguel Montemayor, D. Antonio Ausejo, D. Martin de Mendoza, D. Felipe Ibargiien, D. Francisco Solís, D. Josef Pasalagua, D. Diego de Aguirre, D. Vicente Climent, D. Juan Albornoz, D. Joaquin de Toledo, D. Joaquin Leones, D. Julián Leones, D. Pedro Rato Cisner</t>
  </si>
  <si>
    <t>Ibarra, Julián</t>
  </si>
  <si>
    <t>Julián Ibarra</t>
  </si>
  <si>
    <t>al Cadete D. Josef María Mercado:, en el de Mallorca á Subtenientes de bandera al Sargento primero D. Julián Ibarra, y á les Cadetes D. Josef San Miguel y Mateos y D. Miguel de Artola; y en el batallón de Voluntarios de Campomayor á Teniente aL Subteniente D. Mariano Villanova. La Real Academia</t>
  </si>
  <si>
    <t>Ibarraj, Isidoro</t>
  </si>
  <si>
    <t>Isidoro Ibarraj</t>
  </si>
  <si>
    <t>— bois : á Subrigadier ai Portaestandarte D. Pablo Floreusse : á Cadete de número al Supernumerario D. Isidoro Ibarraj y á Supernumerario al Guardia D. Joaquín Dubarry de Colome. También se ha dignado S. M. conceder Tenencia de granaderos en el regimiento de infantería Suizo ambulante de Rutíman al</t>
  </si>
  <si>
    <t>ICleinerh</t>
  </si>
  <si>
    <t>de Marte con mucha solemnidad. SUIZA. Basilea 23 de Mayó* Ha sido decapitado el ciud. ICleinerh de resultas de! proceso formado contra ios alborotadores; y al ciud. Hausser, por la misma causa, lo han encerrado en una cárcel pública, donde permanecerá 15 año</t>
  </si>
  <si>
    <t>Íes, Obispo</t>
  </si>
  <si>
    <t>Obispo Íes</t>
  </si>
  <si>
    <t>: todos eran encomios y alabanzas dirigidas al Soberano, yá aquellos señores, diciéndomé que el Sr. Obispo Íes visitaba, alentándoles con el mayor cariño: procuré informarme del número de enfermos, y me asegurárcn se acercaban á 200; y que iban á reunirse otras paneras para aumentar el num</t>
  </si>
  <si>
    <t>Iglesias, Pedro</t>
  </si>
  <si>
    <t>Pedro Iglesias</t>
  </si>
  <si>
    <t>.......... . 141-25 Pedro Iglesias..................... Cebolla......................... 14 Francisco Ortiz..................... Nambroca........................ 141-25 Vicente Cano................</t>
  </si>
  <si>
    <t>Iglesias, Ramón</t>
  </si>
  <si>
    <t>Ramón Iglesias</t>
  </si>
  <si>
    <t>........... 141.-23 Ramón Iglesias................... Nava-hermosa............... . 141, •25 Gregorio Gon/.alez............. Moníorte deLemos......... 141.-25 Bernabé López............Valdepeñas..</t>
  </si>
  <si>
    <t>Igm</t>
  </si>
  <si>
    <t>dos de Navarra, pesos y doblones que corren en el día en estos reynos: segunda edición, añadido por D. Igm.cio de Bes y Labet. Se hallará en la librería de Herrera, postigo de S. Martin, á 16 rs. en pergamino y 28 eti pasta. Observaciones histórico-críticas á las tablas de Jayme Ferrer</t>
  </si>
  <si>
    <t>Ignacio Jorge</t>
  </si>
  <si>
    <t>141-25 Ignacio Jorge........................ Pela-Fustan..................... 141. 25 Nicolás Fernandez............... 141-25 Manual Roxas......................</t>
  </si>
  <si>
    <t>Ignacio-Joset Noailles</t>
  </si>
  <si>
    <t>ongía que en la Iglesia de León ha resultado vacante por muerte de D. Fernando Galdido y NAx'era, á D. Ignacio-Joset Noailles,’Capellán del regimiento de Oiivencia, 3.0 de Húsares, en consideración á sus servicios, y conforme al Reglamento de'30 de Enero último : para las Capellanías del primer batallón</t>
  </si>
  <si>
    <t>Iíenrique de Prusia, Príncipe</t>
  </si>
  <si>
    <t>Príncipe Iíenrique de Prusia</t>
  </si>
  <si>
    <t>hasta ayer han pasado el estrecho 290 embarcaciones. ALEMANIA. \rien,i ij de Setiembre. S. A. R. el Príncipe Iíenrique de Prusia, hijo del Príncipe Fernando, ha salido hoy para ei campo de Praga. En este mes se juntarán los estados de Bohemia. Madama de Champagny ha dado á luz un niño el 10 del corriente. E</t>
  </si>
  <si>
    <t>Iílaprotk</t>
  </si>
  <si>
    <t>s; y su resultado es que Mrs. Fourcroy y Vauqu.elin han descubierto en la platina un nuevo metal, y Mr. Iílaprotk una tierra nueva, que la ha puesto el nombre de ochroite\ y que.Mr. de Rumford ha hecho , con un instrumento muy sensible, que llama termoscopio, experimentos muy delicados é inge</t>
  </si>
  <si>
    <t>Ilarrowby, Lord</t>
  </si>
  <si>
    <t>Lord Ilarrowby</t>
  </si>
  <si>
    <t>al Rey. El Vizconde Melville, primer Lord del Almirantazgo : el Conde de Darmouth , Lord Chambelán: Lord Ilarrowby, Secretario de Estado para negocios extrangeros: Lord Hawkes— bury, Secretario de Estado para negocios de lo interior: el Conde de Camden para el departamento de la Guerra; y el L</t>
  </si>
  <si>
    <t>ILarrowby, Lord</t>
  </si>
  <si>
    <t>Lord ILarrowby</t>
  </si>
  <si>
    <t>an lamentado mas los Americanos. Todos los Magistrados civiles y militares asistiéroná su entierro. Lord ILarrowby ha comunicado á los Ministros extrangeros una cirCülajr anunciándoles que S, M. había mandado bloquear estrechamente la entrada de los puertos de Fecamp, Etaples, Boloña, St.Valle</t>
  </si>
  <si>
    <t>Ildefonso Aragón</t>
  </si>
  <si>
    <t>r á Tenientes Coroneles á los Sargentos mayores de brigada Don Ígnacio Mascaró, D. Vicente Talledo, D. Ildefonso Aragón, y D. V¡</t>
  </si>
  <si>
    <t>Ildefonso Fonseca</t>
  </si>
  <si>
    <t>, D.njltyfknuel Josel de Landa, D. Pedro Olea, D. Manuel Enna , D. Alonso Illlaipa, D. Josef León, D. Ildefonso Fonseca , D. Domingo Cándano, D. Jjjnsjw (Castañeda, D. Francisco Barceló, D. Juan Varona, D. Josef IVÍo ota lleda , D. Joaquín Camacho, Don Juan Martínez, D. Ramón Amaya , E3. JflosefSua</t>
  </si>
  <si>
    <t>Ildefonso Rifa</t>
  </si>
  <si>
    <t>al Cadete del de León D. Josef Bedoya: en el de Guadalaxara á D. Josef Corbalan: en el de Sevilla á Don Ildefonso Rifa: en el de Granada á D. Rafael Arango y D. Gaspar Echevarría: en el de Valencia á D. Josef María Cendrera, D. Manuel Ramírez y D. Benito Barraguer: en el de España á D. Josef Cardo</t>
  </si>
  <si>
    <t>Illlaipa, Alonso</t>
  </si>
  <si>
    <t>Alonso Illlaipa</t>
  </si>
  <si>
    <t>D. Josef Caballero, D. Gaspar Orue , D.njltyfknuel Josel de Landa, D. Pedro Olea, D. Manuel Enna , D. Alonso Illlaipa, D. Josef León, D. Ildefonso Fonseca , D. Domingo Cándano, D. Jjjnsjw (Castañeda, D. Francisco Barceló, D. Juan Varona, D. Josef IVÍo ota lleda , D. Joaquín Camacho, Don Juan Mart</t>
  </si>
  <si>
    <t>Imas, Pedro</t>
  </si>
  <si>
    <t>Pedro Imas</t>
  </si>
  <si>
    <t>ef Escalante; ¿ Alféreces á los-Portaguiones^D. Manueljopez y D. Miguel Rosales, y ¿ Portaguiones a D. Pedro Imas y D. Manuel Gómez Bulnes. Asimismo en el regimiento provincial de dragones de San Carlos se ha dignado promover á Capitán al Teniente T&gt;. Antonio Ajeente de Larrea ; ¿ Teniente al Alf</t>
  </si>
  <si>
    <t>Imhoff, Antonio</t>
  </si>
  <si>
    <t>Antonio Imhoff</t>
  </si>
  <si>
    <t>o nombrar Capitán segundo en el Regimiento de infantería Suizo de Courten al Teniente de granaderos D. Antonio Imhoff: en el de Traxler Capitanes segundos al Ayudante, graduado de Capitán i D. Juan Ebneter , y al Teniente D. Melchor Niderberger; Teniente de granaderos al de fusileros D. Josef Nid</t>
  </si>
  <si>
    <t>Indio, Príncipe</t>
  </si>
  <si>
    <t>Príncipe Indio</t>
  </si>
  <si>
    <t>a China, en la Tartaria y en el Japón. Un artículo inserto en la gazeta de Bombay, y escrito por un Príncipe Indio, parece probar que hace mucho tiempo que los Bramines tenían alguna idea de la vacuna, y que hacían uso ae ella, bien que de un modo misterioso , practicando este método solo con</t>
  </si>
  <si>
    <t>Ingles, Almirante</t>
  </si>
  <si>
    <t>Almirante Ingles</t>
  </si>
  <si>
    <t>á medio dia. Con fecha de 9 del corriente escriben de Boloña que han puesto en consejo de guerra ai Almirante Ingles que mandaba la expedición de los brulotes, y á dos Capitanes de Navio, por haber hecho tanto ruido,y tan leve daño á la esquadrilla Francesa. ESPAÑA. Madrid 2 de Noviembre. S. M.</t>
  </si>
  <si>
    <t>Inguanzo, Juan Antonio</t>
  </si>
  <si>
    <t>Juan Antonio Inguanzo</t>
  </si>
  <si>
    <t>las gazetas de Madrid de 31 de Julio de 1798 y 21 de Julio de 1801. Por providencia del Sr. Alcalde D. Juan Antonio Inguanzo, y por la escribanía d$, D, Domingo Rodríguez, se ha mandado volver á subastar una casa sita en la calle del Mediodía grande, núm. 10, manz. no, su sitio 3540 pies quadrados super</t>
  </si>
  <si>
    <t>Iñigo González Azaola</t>
  </si>
  <si>
    <t>le otra vez en Europa, coordinar sus papeles, y publicar sus interesantes viages. Un joven español (D. Iñigo González Azaola), que ha deseado acompañarle en sus expediciones, y se hallaba en México, juntamente con el Barón, á fines del año próximo de 1803, ha enviado en todas lascarías dirigidas á su he</t>
  </si>
  <si>
    <t>Iñigo López de Mendoza</t>
  </si>
  <si>
    <t>storia Septentrional de Persiles y Segismunda, del mismo autor, también en 1 2.°, los Proverbios de D. Iñigo López de Mendoza, y las Coplas do D. Jorge Manrique: un tomo en 12.0 EN LA IMPRENTA REAL.</t>
  </si>
  <si>
    <t>Iñigo Ortes de Veíasco</t>
  </si>
  <si>
    <t>onio Gilman,, Cadete de Reales Guardias Walonas, y D. Fernando Adaiúde Yárza-; al seminarista mayor Don Iñigo Ortes de Veíasco , su hermano , el gefe de sala D. Josef Oríes de . Velas&gt;co , los de la misma' clase I). Francisco Barraycua y D, Alonso Al</t>
  </si>
  <si>
    <t>Iñigo Ortes de Vélasco</t>
  </si>
  <si>
    <t>y es que los qtidtro que ganaron el premio extraordinario de conducta fuéron e! seminarista -mayor D. Iñigo Ortes de Vélasco , el. gefe de sala D. Francisco Barraycua , el gefé cíe trozo Don lúeas de VeJasca, Cadete del batallón de Voluntarios de Navarra * y el semina* ri'sta D. Josef Martínez. ; / ;i ,</t>
  </si>
  <si>
    <t>Iñigo Rosende</t>
  </si>
  <si>
    <t>o: escrito en lengua toscana y portuguesa por el P. Fr. Juan Josef de Santa Teresa, y traducido por D. Iñigo Rosende, Presbítero. Se hallará en la librería de Montero, calle de la Gorguera, y de Fuerte, junto i los Consejos. Plan de estudio de Humanidades, aprobado por el Consejoíí^eal, establec</t>
  </si>
  <si>
    <t>Inocencio</t>
  </si>
  <si>
    <t>: en el de Toledo á D. Francisco Gaipcía ¡ en ei de Mallorca á D. Andrés Floren: en el de Irlanda á D. Inocencio!Santobety: en el de Cantabria á D. Francisco Aparicio*, en el de IpP.iincesa á D. Vicente Baixauli: en el de Extremadura á D. Antonio Sánchez: en el de Borbon á D. Matias Ximenez;</t>
  </si>
  <si>
    <t>Inocencio Coma y Masvidal</t>
  </si>
  <si>
    <t>ntonio Coma y Fortet y á D. Francisco Claret, y en Manresa al citado D. Onofre Serra, ó en Madrid á D. Inocencio Coma y Masvidal, que vive calle de Jacometrezo, núm. 11, quarto principal. Quien quisiere tomar en arrendamiento desde 29 de Setiembre del presente año, por el tiempo que se estipule, el término,</t>
  </si>
  <si>
    <t>Inza y Josef Quiros, Joaquín Rafael</t>
  </si>
  <si>
    <t>Joaquín Rafael Inza y Josef Quiros</t>
  </si>
  <si>
    <t>D. Juan Arguelles, D. Miguel de Sierra, D. Joaquín dé Sierra , D. Luis Carvajal, D. Josef Montero, D. Joaquín Rafael Inza y Don Josef Quiros: en el de Valencia la Comandancia del tercer batallón al Sargento mayor del de América, graduado de Teniente Coronel, D. Ramón Pirez; y Tenencia al Subteniente de granaderos D. Pe</t>
  </si>
  <si>
    <t>Ipsilanti, Príncipe</t>
  </si>
  <si>
    <t>Príncipe Ipsilanti</t>
  </si>
  <si>
    <t>zo. El Príncipe Suzzo, antiguo Hospodar de Valaquia, ha denunciado al Gran Señor el Hospodar actual Príncipe Ipsilanti, suponiéndole de inteligencia con ciertas potencias con quienes mantenía correspondencias secretas, que podían ser peligrosas á la Puerta. El Sultán quedó admirado con esta notici</t>
  </si>
  <si>
    <t>e tan buena calidad como qualquiera otro de afuera. El Conde de Belicval, Ministro del gabinete del Príncipe Ipsilanti,</t>
  </si>
  <si>
    <t>Irazabal, Benito</t>
  </si>
  <si>
    <t>Benito Irazabal</t>
  </si>
  <si>
    <t>uín Grandona;y á Capitanes segundos á los Tenientes D. Josef Castellar, D. Pedro Díaz de Ribera , y D. Benito Irazabal.. S*. M.. se. ha servido nombrar para- una Tenencia en el regimiento de caballería de Almansa., tercero de-cazadores,, á D^Luís Mexía, Teniente agregado al. de Voluntarios de Espa</t>
  </si>
  <si>
    <t>Isaac Cathrail</t>
  </si>
  <si>
    <t>Filadelfia , con una relación de Jos fenómenos morbosos que se observaron en los cadáveres; por el Dr. Isaac Cathrail, del colegio médico de Filadelfia.;-traducido del ingles. Se hallarái en; el despacho déla imprenta Real, á 10 rs. á la rústica. En esta; obra ha expuesto el autor Jo que ha visto</t>
  </si>
  <si>
    <t>Isabel, María</t>
  </si>
  <si>
    <t>María Isabel</t>
  </si>
  <si>
    <t>del cumpleaños de la Sra. Infanta Doña María Luisa, Reyna Regente de Etruria, y de la Sra. Infanta Doña María Isabel , Princesa heredera de Ñapóles. EL Rey se ha servido nombrar para una Canongía de la colegial de Covarrubias, en el arzobispado de Burgos , vacante por fallecimiento de D. Manuel</t>
  </si>
  <si>
    <t>Isidora Maroto</t>
  </si>
  <si>
    <t>ión , baxo la qual falleció, cumplido su funeral , nombró heredera á sü hermana Isidora Maroto, natural de Vargas, y muger de Pedro Colmenero, dé oficio carpintero. Para percibir su herencia acudirá en Madrid á D. Léon Alonso López, calle de ios Autores, frente á la casa de Eórnos,</t>
  </si>
  <si>
    <t>Isidoro María</t>
  </si>
  <si>
    <t>edral de Sigüenz3, que ha dexado el referido Ortega, con la pensión anual de 400 ducados á favor de D. Isidoro María de liada yElSantander. dia 9 dei corriente tuvo junta extraordinaria la Academia de la religión católica en la sala de la Sapiencia, para dar un público y solemne testimonio de su re</t>
  </si>
  <si>
    <t>Isidro Álvarez de Lara</t>
  </si>
  <si>
    <t>hinchilla, Lorca y Sigüenza á los Subtenientes IX Francisco Breva y Salvafuna, D-. Felipe Mellado y D. Isidro Alvarez de Lara ; y á Subteniente de granaderos dei de Buja lance al de fusileros á D. Cristóbal Villalobos.</t>
  </si>
  <si>
    <t>Isidro Bañuelos</t>
  </si>
  <si>
    <t>gado Quadrillero para plaza de Oficial de la Secretaría de la Junta de fabrica del Real .palacio, á D. Isidro Bañuelos: para el Beneficio de la villa de Lebrija, en el Arzobispado de Sevilla, vacante por fallecimiento de D. Francisco Cobelo, á D. Agustín González y Bulnes, Guardia de Corps de dich</t>
  </si>
  <si>
    <t>Isidro Cardona</t>
  </si>
  <si>
    <t>ón de Voluntarios de Aragón al Sargento primero D. Ceferino Laborda; debiendo ser el de igual clase D. Isidro Cardona. En América. En el batallón veterano de infantería de Carácas se ha</t>
  </si>
  <si>
    <t>Isidro de la Osa</t>
  </si>
  <si>
    <t>. Francisco Orozco y D. Juan Pons; y de Subtenientes al Cadete D. Josef María Sánchez y al Sargento D. Isidro de la Osa. Asimismo ha nombrado S. M. para la primera Ayudantía de la plaza de Cumaná á D. Manuel de Villapol, segundo Ayudante de las milicias de blancos de aquella provincia; y para la se</t>
  </si>
  <si>
    <t>Isidro del Campo, Manuel</t>
  </si>
  <si>
    <t>Manuel Isidro del Campo</t>
  </si>
  <si>
    <t>1-24 ■ ■ - , ; él ante dicho* Sr. Alcalde por la escribanía de provincia del carg^o de D. Manuel Isidro del Campo, dentro del término de 40 dias perentorios; baxo apercibimiento que al que en él nó hubiese comparecido le parará el perjuicio que haya lugar. Guia ó estado general de la Real Hac</t>
  </si>
  <si>
    <t>alindo, Alcalde que en aquella época era de la Real casa y corte, por la escribanía de provincia de D. Manuel Isidro del Campo, se mandaba socar á pública subasta un diamante brillante de iogf granos , valuado por D. Amonio Álarcon y D. Manuel Ramos del Manzano, tasadores de joyas de S. M., en 67714rs., s</t>
  </si>
  <si>
    <t>n de su. mañana,. en la audiencia de S. S. y escribanía de provincia, vacante por fallecimiento de D. Manuel Isidro del Campo, el remate del diamante, brillante de 103^ granos valuado por D. Antonio Alarcon y D. Manuel Ramos del Manzano, tasadores de joyas de S..M., en 677,145, rs. sin baxa ni descuento,</t>
  </si>
  <si>
    <t>Isidro la Mata</t>
  </si>
  <si>
    <t>Real cuerpo de Artillería se ha servido el Rey promover á Gefes de Brigada á los Capitanes primeros D. Isidro la Mata, D. Juan García Paredes y D. Manuel Arnaiz; y á Capitanes primeros á los segundos D. Francisco del Mazo,D. Francisco de Ley va y D. Vicente Ferrandez. En el Real cuerpo de Ingenie</t>
  </si>
  <si>
    <t>Isidro Salcedo Escudero</t>
  </si>
  <si>
    <t>los Curas, otras personas de distinción y apelaciones. Los pretendientes dirigirán sus memoriales á D. Isidro Salcedo Escudero, Procurador síndico general deí'comun, comisionado por el Ayuntamiento. Se halla vacante la plaza de Médico de algunos pueblos del valle de Cabuérniga, en las montañas y obispado</t>
  </si>
  <si>
    <t>Isidro Valserio y Horno</t>
  </si>
  <si>
    <t>Guadalaxara, cuya dotación es de 700 ducados anuales. Los pretendientes dirigirán sus memoriales á D, Isidro Valserio y Horno, Corregidor de dicha villa de Hita, Los riages de Rolando y de sus compañeros de fortuna al rededor del mundo: obra de JaufFret, destinada á dar á la juventud una idea de la geogr</t>
  </si>
  <si>
    <t>Isla y Ayala, Manuel</t>
  </si>
  <si>
    <t>Manuel Isla y Ayala</t>
  </si>
  <si>
    <t>rroquial de S. Esteban del lugar de I os Valbases, diócesis de Burgos, vacante por fallecimiento de D. Manuel Isla y Ayala, á D. Roque Rodrigo de Mena: para el Beneficio de Alixar, término rural de la Vicaría de S. Lúcar de Barrameda, vacante por haber tomado estado de matrimonio D. Josef María de Rox</t>
  </si>
  <si>
    <t>Italiski, Conde</t>
  </si>
  <si>
    <t>Conde Italiski</t>
  </si>
  <si>
    <t>o del todo la frialdad que se notaba en el trato de nuestros Ministros con aquel Einbaxador. Mr. el Conde Italiski, Embaxador de Rusia, ha hecho una visita estos dias últimos al General Bruñe; lo que no se habia verificado mueho tiempo hace. GRAN BRETAÑA. Londres 23 de Mayo. Mr. Pitt se presen</t>
  </si>
  <si>
    <t>IV, Pedro</t>
  </si>
  <si>
    <t>Pedro IV</t>
  </si>
  <si>
    <t>denanzas de las armadas navales de la Corona de Aragón, aprobadas por el Rey D. Pedro IV en 1354, traducidas, con inserción de los textos originales. Un tomo en 4.a marquilia: en rústica á 12 rs. Los diez lib</t>
  </si>
  <si>
    <t>Cotejo puntual</t>
  </si>
  <si>
    <t>Izquierdo, Domingo</t>
  </si>
  <si>
    <t>Domingo Izquierdo</t>
  </si>
  <si>
    <t>medios podrán adaptarse para precaverlas, que sean fáciles ¿ y de pronta execucion._-El Excmo. Sr. D. Domingo Izquierdo ^ Gapitan general de este Reyno , y socio honorario, deseando estimular á la cria de ganados en las pequeñas propiedades , ofrece 2 premios de 320 rs. cada uno á los dos labradore</t>
  </si>
  <si>
    <t>Izquierdo, Francisco</t>
  </si>
  <si>
    <t>Francisco Izquierdo</t>
  </si>
  <si>
    <t>eficio simple servidero de la villa de Arjona, en el Obispado de Jaén, vacante por fallecimiento de D. Francisco Izquierdo, á D. Josef de la Vega y Bolaño: para otro de residencia, baxo la invocación de Sta. María, unido á otros quatro de la misma, de la Parroquial de la ciudad de Cervera, Diócesi de</t>
  </si>
  <si>
    <t>Jaccbo Manuel Manrique</t>
  </si>
  <si>
    <t>tra, juntas ó separadas, acuda ante el Sr. D. Manuel Vicente de Torres,, y escribanía del numero de D. Jaccbo Manuel Manrique. Quien quisiere hacer postura 4 una casa sita en la calle de la Zarza y Peregrinos, niím. 15 , manz. 382 , cuyo sitio se compone de 4901 pies quadrados superficiales,, valuada, co</t>
  </si>
  <si>
    <t>Jacobo Beltrano, Blas</t>
  </si>
  <si>
    <t>Blas Jacobo Beltrano</t>
  </si>
  <si>
    <t>ara el Obispado de Ibiza, en la isla de Menorca, vacante por fallecimiento de D. Clemente Llocer, á Don Blas Jacobo Beltrano, Cura de la Parroquia de S. Andrés de Toledo. S.* M/ se há dignado nombrar para úha Ración1 de la Catedral de Málaga, vacante por promoción de t&gt;. Dionisio Muñoz Nadales á Canongí</t>
  </si>
  <si>
    <t>Jacobo Blanco</t>
  </si>
  <si>
    <t>tanes de fusileros en los de Valladolid, Sevilla, Lorca, Truxillo, Segovia y Guadix á los Tenientes D. Jacobo Blanco, D. Pedro María Ayora, D. Claudio Martínez, D. Cristóbal del Solar de Celis, D. Luis Pecoso, D. Fernando Mateos, y al Capitán reformado D. Vicente Gómez del Mercado: á Tenientes e</t>
  </si>
  <si>
    <t>Jacobo Chico de Guzman</t>
  </si>
  <si>
    <t>bteniente D. Joaquín María Fuster ; y Subtenencias al Sargento primero D. Felipe Melero y al Cadete D. Jacobo Chico de Guzman: en el de Extremadura Compañía al Teniente de granaderos , graduado de Capitán, D. Miguel Rosales; y Subtenencia de bandera al Cadete D. Alexandro San Millan; y en el de las Orden</t>
  </si>
  <si>
    <t>Jacobo de Villaurrutia</t>
  </si>
  <si>
    <t>encia de México á D. Miguel Bataller; y para la de Alcalde del crimen de la misma, que este dexa, á D. Jacobo de Villaurrutia, Oidor que era de la de Guatemala. También se ha servido S. M. nombrar para Tenientes Gobernadores y Asesores ordinarios de los Gobiernos é Intendencias de Guanajuato, Maracaybo y</t>
  </si>
  <si>
    <t>Jacobo Manuel Alanrique</t>
  </si>
  <si>
    <t>resentantes, para que con los documentos suficientes á su juzgado, y por la escribanía de número de D. Jacobo Manuel Alanrique, á percibir cierta cantidad de maravedises que les corresponde del alcance que quedó debiendo el difunto Fernandez, de resultas de la administración de una casa que estuvo a su cu</t>
  </si>
  <si>
    <t>Jacobo Manuel Manrique</t>
  </si>
  <si>
    <t>el Sr. D. Torquato Antonio Collado , Teniente Corregidor de esta villa, y escribanía del número de D. Jacobo Manuel Manrique. En conseqiiencia del aviso que se dio al público por la gazeta de Madrid, del dia 20 de Abril de este año, núm. 32 , para que los acreedores, graduados é ignorados, á los bienes</t>
  </si>
  <si>
    <t>cente de Torres, del Consejo de S. M., Teniente Corregidor de esta villa, y escribanía numeraría de D. Jacobo Manuel Manrique se venden dos dehesas de pasto y labor, tituladas Cuevasyelmas y Romerosa, en término y jurisdicción de la villa de Tarazona, en la provincia de la Mancha, que 'según el reconocim</t>
  </si>
  <si>
    <t>S. M., Teniente Corregidor de' esta villa , hace saber que en su juzgado y escribanía numeraria de D. Jacobo Manuel Manrique está radicada la testamentaría de D. Cárlos María Ridolfi, Agente de negocios que fué en esta Corte, que falleció en 10 de Marzo próximo pasado,1 dexando por herederos, por mitad de</t>
  </si>
  <si>
    <t>el Sr. D. Manuel Vicente de Torres, Teniente Corregidor de esta villa, ante el Escribano del número D. Jacobo Manuel Manrique, por tercero y ultimo término, y por el de 10 dias contados desde el 24 del corriente, se manda sacar á pública subasta, en virtud de Real cédula, dos dehesas de mayorazgo intitul</t>
  </si>
  <si>
    <t>Jacobo Neíf, Francisco</t>
  </si>
  <si>
    <t>Francisco Jacobo Neíf</t>
  </si>
  <si>
    <t>nceder Tenencia de granaderos en el regimiento de infantería Suizo ambulante de Rutíman al Teniente D. Francisco Jacobo Neíf: y en el de Traxler Tenencia al Subteniente D. Rafael Barina; y Subtenencias de granaderos á los Subtenientes D. Luis Kasly y D. Xav ier Traxler. En América. En atención á la apti</t>
  </si>
  <si>
    <t>Jacobo Quixano</t>
  </si>
  <si>
    <t>tería de Voluntarios de Castilla se ha dignado S. M. conceder Tenencia al Subteniente de granaderos D. Jacobo Quixano; y en los de Extremadura y Ñapóles Subtenencias de bandera á los Sargentos primeros D. Juan de la Puente y D. Pedro Junk. En los regimientos de caballería de línea se ha servido e</t>
  </si>
  <si>
    <t>Jacobo Willi, Juan</t>
  </si>
  <si>
    <t>Juan Jacobo Willi</t>
  </si>
  <si>
    <t>as acusaciones, las defensas, y las propias confesiones del reo de insurrección Juan Jacobo Willi, vecino de Horgen en el cantón de Zurich, de edad de 31 años, casado, y zapatero de profesión, hemos hallado: i.° que el referido Willi, por escrito y verbalmente, ha obligado con amenaza</t>
  </si>
  <si>
    <t>Jacques Mathieu</t>
  </si>
  <si>
    <t>ación del plan de resarcimientos, volverá allí muy pronto. También se espera al ciud. Jacques Mathieu, que lhgará de Paris. Según dicen, estos dos negociadores están encargados, en nombre de sus gobiernos, de cooperar en el arreglo definitivo de los objetos lit</t>
  </si>
  <si>
    <t>Jallachich, General</t>
  </si>
  <si>
    <t>General Jallachich</t>
  </si>
  <si>
    <t>BosoUcos, de poner su pais baxo la protección y soberanía del Emperador, salvo algunas reservas. El General Jallachich, Comandante del cordon Austríaco en aquella frontera, no ha creido deber desechar semejante propuesta*; .Hace algún tiempo que los Turcos se.desconfian del Austria., ppr lo que es</t>
  </si>
  <si>
    <t>Jalón, Ambrosio</t>
  </si>
  <si>
    <t>Ambrosio Jalón</t>
  </si>
  <si>
    <t>itares y Voluntarios de la Corona á los Cadetes D. Francisco de Paula Catalá, D. Juan Ruiz Alvarez, Don Ambrosio Jalón y D. Juan Doz. En atención á los méritos y servicios personales contraídos en beneficio público y del estado por D. Francisco de Gomis, Familiar de número del Sto. Oficio de la Inquis</t>
  </si>
  <si>
    <t>Jalón, Juan</t>
  </si>
  <si>
    <t>Juan Jalón</t>
  </si>
  <si>
    <t>ez y D. Manuel Miranda; y á igual empleo en el regimiento de Españoles, sexto de húsares, al Cadete D. Juan Jalón. S. M. ha tenido á bien restablecer la plaza segunda de Director de la Real renta de la Lotería , y conferirla, con; los honores del Consejo de Hacienda, al Comisario ordenador de</t>
  </si>
  <si>
    <t>Jambon-Saint-André</t>
  </si>
  <si>
    <t>gado del segundo distrito de la policía general del Imperio Francés, el Prefecto del Mont-Tonnerre, Mr. Jambon-Saint-André, ha publicado un bando prohibiendo en toda la extensión de aquel departamento la introducción y la circulación de los papeles públicos siguientes: la gazeta de Hamburgo, la de Ley</t>
  </si>
  <si>
    <t>James Crauford</t>
  </si>
  <si>
    <t>I C 2 *7 que Sir James Crauford ha faltado á su palabra de honor, ausentándote de Francia. Es imposible manifestar ahora los motivos que ha tenidoMr. Crauford pava ausentarse de un país donde se le trataba con e</t>
  </si>
  <si>
    <t>Janssens</t>
  </si>
  <si>
    <t>dam 8 'de: Mayo. ................................. • i , Dase por cierto que el ciud. Janssens dexará el gobierno general dell Cabo de Buena-Esperanza &gt; y que mandará provisionalmente el Comisan rio. general Demist.- , . ■ ■ _ . .• . - ¡: ■ •. .•&lt; - . SUIZA</t>
  </si>
  <si>
    <t>tropas francesas procedentes de la isla de Francia, y que el Comisario general Demist reemplazará á Mr. Janssens en el mando de esta colonia.. SUIZA. Berna 16 de Mayo. Luego que principien las juntas de la Dieta se expondrán al ptíblico en esta ciudad los productos de las arres.y de la industr</t>
  </si>
  <si>
    <t>Son' nHiy favorables las noticias del Cabo,doñd« las providencias dadas por el Gobernador geííéral Mr. Janssens merecen los mayores elogi'osv-^Gón fét-ha de 7 de Febrero se publicó, en 9 del mismo, una orden mandando que salgan de la colonia, dos meses después déla publicación, todos los in</t>
  </si>
  <si>
    <t>Jard-Panvilliers</t>
  </si>
  <si>
    <t>s oradores del Tribunado que venían con el voto ó acuerdo del día anterior, el que expuso al Senado Mr. Jard-Panvilliers, y ademas hizo su relación de los motivos que el Tribunado decía tener para haber tomado 'semejante resolución , la qual se dirigía á asegurar y consolidar la libertad francesa, l</t>
  </si>
  <si>
    <t>Jarmen</t>
  </si>
  <si>
    <t>o á la: altura de la. isla de Java. También trae pliegos del Gobernador del Cabo de Buena-Espéranza.Mr. Jarmen.- . ; ; El Gobierrióíhavdadó órdenes al: Vice-r Almirante Kikkert, que manda en las costas desde la embocadura del Mosa hasta el Ems, ó hasta las fronteras de la República, para q</t>
  </si>
  <si>
    <t>Jasobo Manuel Manrique</t>
  </si>
  <si>
    <t>pediente sobre este punto. Quien quisiere hacer postura á ella, acuda á la escribanía del número de D. Jasobo Manuel Manrique, donde está radicado el de subasta. =: Por el propio juzgado y escribanía se vende una casa en la villa de Pinto, en ia plazuela que dicen del Marques de Pejas, que al presente ha</t>
  </si>
  <si>
    <t>Jaubert</t>
  </si>
  <si>
    <t>baspptencias; pero luego se han renovado con la antigua sinceridad j y sobré todo desde el viage de Mr. Jaubert se ha aumentado la confianza y la buena armonía entre Francia y Turquía. RUSIA. Petersburgo 4 de Setiembre* En la Gazeta de la Corte se lee ei artículo que sigue*. Varias Gazetas</t>
  </si>
  <si>
    <t>Jayme</t>
  </si>
  <si>
    <t>omo se creía ia antigüedad del libro de las trobas : que su autor no pudo ser .coetáneo á los Reyes D. Jayme 1 y D. Pedro m de Aragón ; y que no solo no son obra del siglo xm, sino ni aun del xiv y xv. Se hallará en la librería de Orea, calle de la Montera; y en Valencia en la de Beneito</t>
  </si>
  <si>
    <t>as minas de Oyarzun ; un artículo sobre el arte de curtir las pieles; otro sobre la crónica del Rey D. Jayme 1 de Aragón; y otro, por último, sobre la rima y el verso suelto. Se hallará, con los antecedentes, á 3 rs. en la librería de Alonso, frente á las gradas de S. Felipe. Método de e</t>
  </si>
  <si>
    <t>el aceyte de D'. Alberto Mexino: concluye la discusión sobre la historia de los Comentarios del Rey D. Jayme 1 de Aragón -, concluyen también las reflexiones sobre la rima y el verso suelto: una caria sobre el uso de Jas voces Genio é Ingenio: una carta dél autor del poema de la Inocenci</t>
  </si>
  <si>
    <t>Jayme Dct</t>
  </si>
  <si>
    <t>7; &gt; habiéndose extraviado, qt.ren sepa su paradero se servirá entregarlos en esta corte en casa de D. Jayme Dct, calle de los Preciados , núiii. 2 , quaxto principal ; y en Barcelona eñ la de los. miamos interesados. Él Sr. D. Torquato Antonio Collado , Teniente Corre gidejr de esta vílía ,</t>
  </si>
  <si>
    <t>Jayme de Bellostas, Manuel</t>
  </si>
  <si>
    <t>Manuel Jayme de Bellostas</t>
  </si>
  <si>
    <t>s de Lérida, vacante por promoción de Don Manuel Abad á la Ganongía de la catedral de Barbastro , á D. Manuel Jayme de Bellostas : para la Dignidad de Paborde del Panadés, oficio regular del monasterio de S. Cugat del Valles, de la Congregación Benedictina claustral Tarraconense y Cesaraugustana, vacante po</t>
  </si>
  <si>
    <t>Jayme Fabregues y Santander</t>
  </si>
  <si>
    <t>ocueva, D. Francesco Chacón y valle, D. Gerónimo Obregon y Villa, D. Joaquín Tosquella y Monserrat, D. Jayme Fabregues y Santander , D. Antonio de Mella, D. Juan Novoa y Gayoso , D. Toribio Salcedo, D Francisco García Fiorez , D. Tomas Cervino, D, Josef Muller, D. Francisco Viana y Achucarro, D. Antonio Doral</t>
  </si>
  <si>
    <t>Jayme Ferrer</t>
  </si>
  <si>
    <t>.... . 14 1 • •15 Jayme Ferrer........................ Tama rite...................... I4I-25 Agustin Copado.................. Caraeolejo................ 14.--.25 Francisco Fernandez.......</t>
  </si>
  <si>
    <t>Jayme Linart</t>
  </si>
  <si>
    <t>de Manila, se ha servido S. M. promover á Capitanes al Ayudante D. Manuel Hermosilla, y al Teniente D. Jayme Linart: á Ayudante al Teniente D. Josef Pardo: á Tenientes de granaderos á los de fusileros D. Francisco Gerónimo García y D. Mateo de la Dehesa: á Tenientes á los Subtenientes de granad</t>
  </si>
  <si>
    <t>Jayme Moreno</t>
  </si>
  <si>
    <t>o Delgado. Para el Gobierno militar y político de la plaza de Málaga ha nombrado S. M. al Brigadier D. Jayme Moreno, Gobernador de la ciudad de Motril. En América. El Rey se ha servido nómbrar para una Canongía de la catedral de la Paz, vacante por fallecimiento de D. Antonio de Toro, á D. Jose</t>
  </si>
  <si>
    <t>Jayme Rey, Pedro</t>
  </si>
  <si>
    <t>Pedro Jayme Rey</t>
  </si>
  <si>
    <t>emona: en el de Reding á los Sargentos primeros D. Matías Neuman y D. Carlos Sinner,y á ios Cadetes D. Pedro Jayme Rey y D. Josef Hetfleisch: en el de Bettschart al Cadete D. Francisco Ceeberg: en el de Traxler al Sargento primero de granaderos D. Federico Behr y al Cadete D. Carlos Muller; y en el de</t>
  </si>
  <si>
    <t>Jayme Rubio</t>
  </si>
  <si>
    <t>egislación, escrita en italiano per el caballero Cayetano Filangieri, y traducida al castellano por D. Jayme Rubio:'un tomo en 8.° á 8 rs. en pasta y 6 en papel. Se hallarán en la tienda del Toledano, calle de la Montera. Los 1 2 tomos que componen la clásica colección de filósofos moralistas</t>
  </si>
  <si>
    <t>Jayme Rui</t>
  </si>
  <si>
    <t>D. Antonio Ribas, á D. Clemente Casellas; y para otro de la misma iglesia, vacante por renuncia de D. Jayme Rui, á D. Pablo Ros y Dordas. S. M. se ha servido promover á Capitán segundo en el primer batallón de Voluntarios de Aragón al Teniente D. Cayetano Abascal: á Teniente en el regimient</t>
  </si>
  <si>
    <t>Jayme Sanz</t>
  </si>
  <si>
    <t>y D. Manuel Motes; y Subtenencias de bandera en los de Asturias y Ñápeles á los Sargentos, primeros D. Jayme Sanz y D. Juan Ca.samayorj, y en los del Inmemorial del Rey , Granada y Murcia á los Cadetes Don Manuel de Vareas, D. Francisco Perez Cortes y D. Juan Nepomuceno de Les, todos de los misin</t>
  </si>
  <si>
    <t>Jaynie O-Ra</t>
  </si>
  <si>
    <t>pellaheS etí dos regimientos de infantería de León y Ultoiña á los presbíteros JD.:Manuel Pedrero y D. Jaynie O-Ra. En el regimiento del Rey, primero de cazadores ,.se ha servido S. M. conferir el empleo de Sargento mayor al Capitamgraduado de Teniente Coronel D. Manuel Diaz«Los tenedores de v</t>
  </si>
  <si>
    <t>JBarceló, Rafael</t>
  </si>
  <si>
    <t>Rafael JBarceló</t>
  </si>
  <si>
    <t>on Juan Antonio Rodríguez Moriiía , y vecinos de la villa de Albacete, acuda á tratar de ajuste con D. Rafael JBarceló, Agente de negocios, calle de la Comadre, núm. 35 , quarto principal, quien se halla con todas las facultades correspondientes para su enagenacion. Compendio de la historia univer</t>
  </si>
  <si>
    <t>Jcaquin Tercero Gaseo</t>
  </si>
  <si>
    <t>; y para esta resulta á D» Santiago Zapata: para el Corregimiento de Letras de la villa de Olmedo á D, Jcaquin Tercero Gaseo; y para el de la población;de San Roque, campo de Gibraitar, á D. Josef Ignacio Llorens. . : - &gt; Por Escribanía de Cámara y de Gobierno del Consejo Real se ha comunicado con fecha</t>
  </si>
  <si>
    <t>Jcsef Navarro Falcon</t>
  </si>
  <si>
    <t>erpo de Artillería se ha dignado S. M. promover á Coronel al Teniente Coronel, graduado de Coronel, D. Jcsef Navarro Falcon; á Teniente Coronel al Xefe de brigada, graduado de Teniente Coronel, D. Juan de Areco; á Capitanes segundos á los Tenientes D. Pedro Velarde y D. Josef Arguinzonis, y á Tenientes</t>
  </si>
  <si>
    <t>Jean Bon Saint-André</t>
  </si>
  <si>
    <t>s á esperar fa venida, del Emperador Napoleón. Ayer ílego un correo de Aquisgran á nuestro Prefecto Mr. Jean Bon Saint-André, Parece que tos pliegos que recibió eran relativos á la llegada de S. Han entrado en la ciudad muchos cuerpos de tropas, que estaban repartidos en nuestro departamento y en la Bél</t>
  </si>
  <si>
    <t>Jekyll</t>
  </si>
  <si>
    <t>ios mas deshonrosos y vergonzosos al Parlamento.” El Presidente censuro vivamente á Mr. Stanhope; y Mr. Jekyll pidió que lo que había dicho se pusiese por escrito, para servir de fundamento á los procedimientos parlamentarios contra él. ,,Mr. Stanhope (dixo el Presidente) sirviéndose de se</t>
  </si>
  <si>
    <t>Jellachich, General</t>
  </si>
  <si>
    <t>General Jellachich</t>
  </si>
  <si>
    <t>rior de Hungría, después de agotar los almacenes que se habían formado en aquellas provincias: y el General Jellachich, que manda el cordon de las tropas de las fronteras de Turquía, ha expuesto al Archiduque Carlos ser ya inútiles las disposiciones dadas hasta ahora, por quanto habiendo cesado la</t>
  </si>
  <si>
    <t>Jenkynson</t>
  </si>
  <si>
    <t>de correo con una carta del Emperador de Alemania para nuestro Soberano-----Han llegado igualmente Mr. Jenkynson , que pasa á Viena en calidad de Secretario^ de legación del Gobierno Británico, y Mr. Argiropolo , Ministro residente de la Sublime Puerta cerca de nuestra Corte. Ei.14 vino S. M</t>
  </si>
  <si>
    <t>Jenner</t>
  </si>
  <si>
    <t>ado los efectos que se deseaban. Añadió que nada era mas sencillo, y manifestó que pensaba, como el Dr. Jenner, que no ce nece sitaba, á los principios , del auxilio de ningún médico.xSi mas a lelante era necesario valerse de alguno, lo que no le parecía probable por la experiencia que ten</t>
  </si>
  <si>
    <t>Jenssens</t>
  </si>
  <si>
    <t>alto este articulo de comercio. Amsterdam i 8 de Julio. El Gobernador del Cabo de Buena-Esperanza, Mr. Jenssens, se ha propuesto enviar tres personas de confianza y de instrucción , c&lt; n la comisión de internarse en Africa. Los ríos que se internan en países y naciones poco conocidas, pero</t>
  </si>
  <si>
    <t>Jesualdo López Sahajosa</t>
  </si>
  <si>
    <t>al cuerpo de Artillería se ha servido el Rey promover á Capitanes primeros á los Capitanes segundos D. Jesualdo López Sahajosa , D. Antonio Miralles , D. Josef Chacón y D. Pedro Orduña; á Capitanes segundos á los Tenientes D. Luis Negron, D. Francisco del Rey y D. Miguel Baños López; y á Tenientes á ios S</t>
  </si>
  <si>
    <t>Jiiar</t>
  </si>
  <si>
    <t>y TI aln a á lós acreedores de D. Pascual de las Fuentes Ángulo, vecino de esta corte , y á los de Doña Jiiar^a Chayarría, su difunta,mpger., para que en término de 30 días perentorios y precisos, contados desde la publicación de este aviso, comparezcan por sí, ó por procurador, en el juz</t>
  </si>
  <si>
    <t>Jjjnsjw</t>
  </si>
  <si>
    <t>lea, D. Manuel Enna , D. Alonso Illlaipa, D. Josef León, D. Ildefonso Fonseca , D. Domingo Cándano, D. Jjjnsjw (Castañeda, D. Francisco Barceló, D. Juan Varona, D. Josef IVÍo ota lleda , D. Joaquín Camacho, Don Juan Martínez, D. Ramón Amaya , E3. JflosefSuarez , D. Pedro del Barco, D. Pedr</t>
  </si>
  <si>
    <t>JLake, General</t>
  </si>
  <si>
    <t>General JLake</t>
  </si>
  <si>
    <t>e de AlyGhur el 4 de Setiembre, y en la batalla ganada delante de Delhi el 1.1 del mismo mes por el General JLake. Con esto se completan las noticias de oficio de las operaciones militares mandadas personalmente por dicho General el 29 de Agosto hasta 18 de Setiembre.__ .El Gobernador general</t>
  </si>
  <si>
    <t>Jnan Bastida</t>
  </si>
  <si>
    <t>o Gau; tiér y D. Patricio de S. Pedro: en el de la Reyna á D. Josef Fernandez: en el del Príncipe i D. Jnan Bastida y D. Juan Sedaño: en el de Saboya á D, Bruno Barrera : en el de Africa al Cadete del de León D. Josef Bedoya: en el de Guadalaxara á D. Josef Corbalan: en el de Sevilla á Don Ildefons</t>
  </si>
  <si>
    <t>Joa</t>
  </si>
  <si>
    <t>s: para una Media-Ración de la metropolitana de Granada , vacante por muerte de D. Pedro Zurita , a D. Joa</t>
  </si>
  <si>
    <t>Joa'quin Lirón</t>
  </si>
  <si>
    <t>s á los Tenientes D. Luis Menendez, D. Ignacio Cincúnegui, D. Pascual Antillon, D. Joaquín Hidalgo, D. Joa'quin Lirón, D. Francisco Bermudez y D. Josef de Córdoba. En los regimientos provinciales ha promovido S. M. á Coronel del de Soria al Teniente Coronel de infantería y Capitán de granaderos d</t>
  </si>
  <si>
    <t>Joacf Cortes</t>
  </si>
  <si>
    <t>eniente de Volunta­ Joacf Cortes......................... Andraz............................. 141 •2S rios de Valencia.......... a83 •• 16 5.a orí r.°</t>
  </si>
  <si>
    <t>Joaqnin Cavada</t>
  </si>
  <si>
    <t>ego Colon: Inca Garcilaso , Historia del Perú, 2 tomos en folio----- Matemáticas, primer año. i.°’: D. Joaqnin Cavada: Observaciones y viages de D. Jorge Juan , 5 tomos en folio. 2.0: D. Luis de los Ríos: Bails, Elementos de matemáticas, 3 tomos en 4.0 Accessit: D. Joaquín Villavicencio García: E</t>
  </si>
  <si>
    <t>Joaquina</t>
  </si>
  <si>
    <t>o de sus respectivos créditos, se ha mandado sacar a publica subasta una huerta, perteneciente á la Doña Joaquina (conocida con el nombre del Alguacil mayor), sita en la inmediación del canal de Manzanares , con casa dentr*</t>
  </si>
  <si>
    <t>ch de Cardona y Doña Joaquina de Paredes su muger, se está subastando una huerta perteneciente á la Doña Joaquina (conocida con el nombre de Alguacil mayor), sita en la inmediación del canal de Manzanares, con casa dentro de ella, que tiene una decente habitación, muchas quadras, pajares y no</t>
  </si>
  <si>
    <t>Joaquina Paredes</t>
  </si>
  <si>
    <t>Corregidor de esta villa, y á instancia de los acreedores de D. Vicente Tiller Folch de Cardona, y Dona Joaquina Paredes, su muger, vecinos de esta corte , para pago de sus respectivos créditos, se ha mandado sacar a publica subasta una huerta, perteneciente á la Doña Joaquina (conocida con el nombr</t>
  </si>
  <si>
    <t>Joaquínu Aróstegui</t>
  </si>
  <si>
    <t>n del Busto, D. Josef Quiroga, D. Dieggo* Venegas, D. Ventura Gutiérrez de Bustillo, D. Josef Roso, D. Joaquínu Aróstegui, D. Joaquín Ibañez de Corvera, D* Josef Valdasano, Dj, Manuel de Cañas, D. Josef del Castillo, D. Manuel de Palacio^11). JAcanta Romarate, D. Josef Corones, D. Nicolás de la Vega,</t>
  </si>
  <si>
    <t>John Borlase Warren, Almirante</t>
  </si>
  <si>
    <t>Almirante John Borlase Warren</t>
  </si>
  <si>
    <t>l Baylío de Neckargemund. GRAN BRETAÑA. ' Londres g de Diciembre. Los pliegos que llegaron ayer del Almirante John Borlase Warren, Embaxador británico en Petersburgo, dicen que son muy satisfactorios, y que prometen cosas interesantes para en adelante. PARLAMENTO IMPERIAL. Cámara de los Comunes. En la junta</t>
  </si>
  <si>
    <t>John Orde</t>
  </si>
  <si>
    <t>s las disposiciones, para que no se propague el contagió. Mueren diariamente de 20 á 30 personas. • Sir John Orde ha puesto su pabellón en el navio Gloria, y sucederá en el mando de la esquadra.del Mediterráneo á Lord Nelson, quien ha pedido permiso para retirarse á su casa, con motivo de su</t>
  </si>
  <si>
    <t>John Wrottesley</t>
  </si>
  <si>
    <t>as enmiendas se hiciese de allí-a tres meses , ó, lo que es lo mismo,, que se desestimase el bilí.” Sir John Wrottesley combatió los argumentos que se habian hecho contra los principios del bilí. En esto. los debates volvieron á empezar de nuevo sobre roda la qiiestion. En tanto ambos, partidos env</t>
  </si>
  <si>
    <t>Johnstone</t>
  </si>
  <si>
    <t>sarios, no ?o;lo se propuesto, sino que, aun avisaría al muy honrado .caballero.luegp.que llegasen. Mr. Johnstone rezóla que la guerra ha empezado con agrésíon de nuestra parte, y que se debe á aquel espíritu de ambición, que tanto ha prevalecido en la India, y que ha caracterizado el gobiern</t>
  </si>
  <si>
    <t>tratar en la Cámara de los Comunes del bilí de la fuerza suplementaria para la defensa del reyno.__.Mr. Johnstone atacó el principio del bilí como contrario á la constitución, particularmente á las disposiciones indicadas para forzará las parroquias, hasta con multas, á suministrar su conting</t>
  </si>
  <si>
    <t>Jorge Juan</t>
  </si>
  <si>
    <t>, cí Conde de Temos, el Mtro. Vicente Espinel , D. Jorge Juan y D. Antonio de Ulioa, dibujados y grabados por los mejores profesores españoles. Se hallará en la calcografía de S. M. establecida en la imprenta Real. Se ha extraviado desde Tarrago</t>
  </si>
  <si>
    <t>a obra de Matemáticas puras de D. Carlos Lemaur , y los|lie $;egnmdo con el Examen marítimo del Sr. D. Jorge Juan, y Suplemento d-e D- Pedro Enri, habiendo tocado ai Dr. Velazquez ambos premi^pgor su. doble examen. — El Sr. Director destinó para las tres escuela^ gratuitas varios dotes de á 5</t>
  </si>
  <si>
    <t>ones astronómicas y geográficas de los Académicos Reales dé las Ciencias de París, y de los Señores D. Jorge Juan y D. Antonio de. Ulloa.................. 30*, 26, planos: Plano geométrico dél' puerto capital de la isla; de Puerto Rico ,levantado en 1794, por D. Cosme Churruca , Brigadier de Mari</t>
  </si>
  <si>
    <t>Mecánica aplicado á la construcción, conocimiento y manejo de los navios y demas embarcaciones, por D. Jorge Juan: un tomo en tafilete.................. .................. .................. 8 y. y y. Idem en pasta................ .............................. . 75. 48. Idem á la rústica..»•</t>
  </si>
  <si>
    <t>, 2 tomos en folio----- Matemáticas, primer año. i.°’: D. Joaqnin Cavada: Observaciones y viages de D. Jorge Juan , 5 tomos en folio. 2.0: D. Luis de los Ríos: Bails, Elementos de matemáticas, 3 tomos en 4.0 Accessit: D. Joaquín Villavicencio García: Elementos de matemáticas, 2 tomos en 8.°__</t>
  </si>
  <si>
    <t>Josa, Juan Bautista</t>
  </si>
  <si>
    <t>Juan Bautista Josa</t>
  </si>
  <si>
    <t>de Huesca, y padrino el venerable Cabildo de la propia catedral, representado por sus comisionados D. Juan Bautista Josa y D. Narciso Batiz. S. M., por su cédula de 13 de Agosto de 1804, se ha dignado conceder licencia y facultad á la villa de Santibañez, provincia de Burgos, para que pueda celebrar dos</t>
  </si>
  <si>
    <t>Jose'f Ortega de Tamayo y Padilla</t>
  </si>
  <si>
    <t>ncia constante la necesidad que tienen los profesores de entender el idioma del pulso : escrita por D. Jose'f Ortega de Tamayo y Padilla, Médico en esta corte. Se hallará en la librería de Montero, calle de la Gorguera. En la librería de Campo,calle de Alcalá,se hallan las obras de música siguientes*. 6 minuetes de</t>
  </si>
  <si>
    <t>Josef</t>
  </si>
  <si>
    <t>acón; á Exento de número al Supernu-; mera rio D. Francisco Manrique; á Supernumerario al Brigadier D. Josef. Azcutia; á Brigadieres á los Subrigadieres D. Vicente Bustamanre yD. Josef Puch; á Subrigadieres á los Cadetes D. Antonio Pascual y D. Josef Armendariz; á Cadetes de número á los</t>
  </si>
  <si>
    <t>eta y D. Sebastián de Gorvea, y los seminaristas D. Josef Martínez, IX'Manuel Fernandez, su hermano D. Josef, D. Bernabé Otalora, D. Ambrosio Velasco y D. Manuel Cámara. Y es también digno de publicarse, que el Cadete de Reales Guardias Walonas D. Josef de Castro no perdió el derecho á e</t>
  </si>
  <si>
    <t>ic^ pies quadrados, la que está tasa/Ja en 489,282 rs. Quien quisiere comprarla, acuda á tratar con D. Josef‘Moratilla, en la escribanía de número de esta villa, que exerce D. Juan de Répide, por la mañana desde las nueve hasta la</t>
  </si>
  <si>
    <t>Navarrete: para otra de la Colé-* gjal de Besalu, en el Obispado de Gerona , vacante por muerte de Don Josef ftelf, á D. Pedro Bataller y Costa. El Rey se ha servido conferir Compañía en el Regimiento de infantería de Sevilla al Ayudante, graduado de Capitán, D. Miguel del Castillo: Tene</t>
  </si>
  <si>
    <t>Josef Aguado</t>
  </si>
  <si>
    <t>.......... 141-25 Josef Aguado....................... Valdemorillo..... *4'- 25 4.a DEL 2.°. Francisco Gome-:................ NavainorqüeOde. 14</t>
  </si>
  <si>
    <t>Josef Aguirre</t>
  </si>
  <si>
    <t>Sargentos primeros D. Mariano Ortiz y D. Josef Dimalanta; y á Subtenientes de bandera á los Cadetes D. Josef Aguirre, D. Josef María Bayot, D. Joaquín María Bayot y D. Manuel Vicente Corrales. En el de Milicias disciplinadas de infantería deda Havana ha promovido S. M. á Capitanes á los Subtenie</t>
  </si>
  <si>
    <t>Josef AHllasante</t>
  </si>
  <si>
    <t>,. Rafael Villar,, graduado de Capitán, D. Bartolomé Lison, de granaderos, D. Joaquín Goyena, idem, D. Josef AHllasante, idem, D. Mariano Caro y D. Pedro Osorio: á Tenientes de granaderos á los de fusileros D. Josef Fernandez Reguera, D. Pedro Bufarull y D. Sebastian Arroyo : á Tenientes á los Subt</t>
  </si>
  <si>
    <t>Josef Alamillo</t>
  </si>
  <si>
    <t>os actuantes, porque todos eran acreedores á premio; pero les cupo eii suerte á Don Mariano Molina, D. Josef Alamillo, D. Josef Valdasano y D. Rafael Suarez: estos distintivos de las indicadas aplicaciones, y para estímulo de los demas, se les colocó en el pecho; practicándose lo mismo con la qui</t>
  </si>
  <si>
    <t>Josef Alaría Pérez Valiente</t>
  </si>
  <si>
    <t>e trasladó desde Cádiz á Málaga', por expresa orden de S. M* •Por la audiencia que despacha el Sr.. D. Josef Alaría Perez Valiente , de lá Real y distinguida orden española de Carlos m , del Consejo de S. M. , y Alcalde .de su Real casa y corte, y escribanía de provincia de JA Simón .Raiiz., penden los autos</t>
  </si>
  <si>
    <t>Josef Albarenga</t>
  </si>
  <si>
    <t>Subtenientes de granaderos de los propios cuerpos D. Juan Toñareli, D. Josef Albarenga y D. Lope Ortiz. En el Real cuerpo de Artillería se ha servido S. M. promover á Teniente Coronel del primer regimiento á D. Josef Andrés, Sargento mayor del tercero, graduado de Tenie</t>
  </si>
  <si>
    <t>Josef Albín</t>
  </si>
  <si>
    <t>ral, habiendo sufrido el Dr. Velazquez examen particular t ambién en las citadas primeras materias. D. Josef Albín, alumno ^¡¡laclase de mecánica, presentó una máquina que ha inventado para^ Jrflr cartabones , de la que resulta que por un método nuevo deduce j/$ división del círculo por los ob</t>
  </si>
  <si>
    <t>Josef Albornoz</t>
  </si>
  <si>
    <t>ugenio Gil:y Zúñiga,.y D. Heraeterió Velarde : Teniente de granaderos del de Cuenca al de fusileros D. Josef Albornoz‘. Subteniente de granaderos del de Logroño al de fusileros D.: Josef Saturio Ovejas; y Subtenientes de bandera, del de. Tuy al Cadete D. Pedro Piñeyro. En Amírica.. Habiendo resue</t>
  </si>
  <si>
    <t>Josef Alcaráz y Campillo</t>
  </si>
  <si>
    <t>metropolitana de Sevilla ha resultado vacante por fallecimiento de D. Gerónimo Ignacio del Rosal, á D. Josef Alcaráz y Campillo , Capellán del primer batallón del regimiento de infantería de Mallorca, en consideración á sus servicios , y conforme al reglamento de 30 de Enero último. S. M. se ha dignado con</t>
  </si>
  <si>
    <t>Josef Alcarazy</t>
  </si>
  <si>
    <t>amente por comisión y vocal de la Sanidad á la visita de los enfermos del quartel quarto, con el Dr.D. Josef Alcarazy he presenciado que con solo las friegas de aeey te han curado todos los individuos contenidos en lá antecedente relación í habiéndome asimismo informado de otros varios que no son</t>
  </si>
  <si>
    <t>Josef Alexos de Medina</t>
  </si>
  <si>
    <t>cíe S. M.: para la Ración de la misma iglesia, vacante pof muerte de Don Bartolomé París, a D. Josef Alexos de Medina; y para un Beneficio de la parroquial de Sea. María de la villa de Piera, obispado de Barcelona, vacante por dimisión de D. Mariano Rovira, á D. Joaquín Grau.. En el regimiento de</t>
  </si>
  <si>
    <t>Josef Aliaga</t>
  </si>
  <si>
    <t>ido promover en la Compama Española del Real Cuerpo de Guardias de Cbtps á Brigadier al Subrigadier D. Josef Aliaga; á Subrigadier al Cadete D-Gonzalo Fernandez; a Cadete de número al supernumerario D. Francisco Geria, y á supernumerario al Guardia Don Bernardo Aliaga. ‘ ;iíí1' -'„ El Rey-selia</t>
  </si>
  <si>
    <t>Josef Álvarez Campana</t>
  </si>
  <si>
    <t>. El Bey se ha servido promover d Teniente en el Regimiento de infantería de Córdoba al Subteniente D. Josef Alvarez Campana; y á segundo Ayudante en el batallón de Voiuntaiios, primero de Barcelona, al Teniente- D. Josef Isidoro Vehi. S. M. se ha servido conferir en el Regimiento de infantería de Améri</t>
  </si>
  <si>
    <t>Josef Álvarez de Faria</t>
  </si>
  <si>
    <t>onsideración al mérito, servicios y circunstancias del Teniente General de los Reales exércitos Sr. D. Josef Alvarez de Faria, lia venido el Rey en conferirle el Decanato de su Supremo Consejo de la Guerra, que ha resultado vacante por haber nombrado S. M. Capitán de la Compañía de su Guardia de Alabarde</t>
  </si>
  <si>
    <t>Josef Amit</t>
  </si>
  <si>
    <t>ropio Cuerpo y el de la Rey na al Sargento primero de granaderos D. Francisco Carceller y al Cadete D. Josef Amit. S. M. se ha servido nombrar para laVara de Alcalde mayor de la villa de Caravaca, territorio de la Orden de Santiago, de tercera clase, á D. Antonio Valero. En América. S. M. se</t>
  </si>
  <si>
    <t>Josef Andía</t>
  </si>
  <si>
    <t>Capitán primero D. Josef Musitu; á Capitanes primeros á los Capitanes segundos D. César González , D. Josef Andía, Don Joaquín Osma, graduado de Teniente Coronel, D. Antonio Tejada y Otalora y D. Joaquín Cáceres; á Capitanes segundos á los Tenientes Don Manuel del Pino, D. Felipe Luengo, D. M</t>
  </si>
  <si>
    <t>Josef Andrés</t>
  </si>
  <si>
    <t>l Real cuerpo de Artillería se ha servido S. M. promover á Teniente Coronel del primer regimiento á D. Josef Andrés, Sargento mayor del tercero, graduado de Teniente Coronel; á Sargento mayor dél tercer regimiento á D. Josef Portillo, Capitán primero del primero , graduado de Teniente Coronel;</t>
  </si>
  <si>
    <t>Josef Ángel Recacocchea</t>
  </si>
  <si>
    <t>el comercio de Bilbao. Se ha extraviado un vale de 300 pesos, de Setiembre, núm. 56,286, renovado Á D. Josef Angel Recacocchea, y sin endoso alguno. La persona que lo tuviere</t>
  </si>
  <si>
    <t>Josef Anto</t>
  </si>
  <si>
    <t>s mas acreditados de Madrid, en algunos de los quales autorizó y presidió estos actos el Excmo. Sr. D. Josef Anto</t>
  </si>
  <si>
    <t>Josef Antonio Anzola</t>
  </si>
  <si>
    <t>ios ; su resulta ai Subteniente de granaderos D. Cornelio Blanco; y esta Subtenencia ai de fuuleros D. Josef Antonio Anzola. En algunos ¿xemplares de la Gazeta anterior, núm. 88, pág. 977, lín. 42, dice Ingenieras del pasado, léase del exército. En la misma pág. lín. penúltima dice del corriente, léase</t>
  </si>
  <si>
    <t>Josef Antonio Caballero</t>
  </si>
  <si>
    <t>rio de Hacienda se ha comunicado con fecha de 2 5 dé Enero último la. Real orden siguiente: „EI Sr. D. Josef Antonio Caballero con fecha de 12 de este mes me dice lo siguiente : = De orden del Rey dixo á V. E. mi antecesor el Sr. D. Antonio Cornel , con fecha de i.° de Noviembre de i8co, lo que sigue : =</t>
  </si>
  <si>
    <t>ntes á su cumplimiento. Señalado de la ReaVmano de S. M. En S. Lorenzo á 29 de Octubre de 1804.2= A D. Josef Antonio Caballero.”</t>
  </si>
  <si>
    <t>Josef Antonio Canosa</t>
  </si>
  <si>
    <t>de otras fincas á dinero metálico, con quc;no Laxe de su tasa, acudan á la escribanía de número de D. Josef Antonio Canosa, que se le admitirán las que hiciere dentro del térirninr* de 30 dias, que cumplirán en 20 de Agosto próximo. 'Quien quisiere hacer postura á una casa, perteneciente á la memoria</t>
  </si>
  <si>
    <t>Josef Antonio de Errazurriz</t>
  </si>
  <si>
    <t>García Huidobro; la Chantría ¿i Maestrescuela D. Pedro Antonio de Roxas; esta dignidad al Tesorero D. Josef Antonio de Errazurriz; y la Tesorería á D. Manuel Josef de Vargas, Canónigo magistral de la propia iglesia. También se ha dignado S; M. promover á una Canongía de gracia, vacante en la catedral de Ante</t>
  </si>
  <si>
    <t>Josef Antonio de los Riost</t>
  </si>
  <si>
    <t>mbién ha nombrado S.M. para una Canongía de la colegial deSantaFe, en el arzobispado de Granada , á D. Josef Antonio de los Riost para una Capellanía de Señores Reyes nuevos de Toledo á D. Diego Martin Romoj'y para otras dos del número y coro de aquella santa iglesia, para la primera á D. Domingo de Herrera,</t>
  </si>
  <si>
    <t>Josef Antonio de Marti Creus y Cortés</t>
  </si>
  <si>
    <t>en la de Almería Subtenencia al Sargento D. Josef Sánchez. En atención á los méritos y servicios de D. Josef Antonio de Marti Creus y Cortés, ciudadano honrado de Barcelona, y Regidor del Ayuntamiento de la misma ciudad, se ha servido S. M. concederle privilegio de nobleza del Principado de Cataluña, para sí, sus hijos</t>
  </si>
  <si>
    <t>Josef Antonio de Mestas</t>
  </si>
  <si>
    <t>León Benavides: para el de la de Palencia á D. Josef Guillen de Toledo: para el de la de Marbeila á Don Josef Antonio de Mestas : para el de la de Lbeda á D. Josef Fernandez Quevedo: para el de la de Loxa á D. Ignacio Mariano de Mendoza: para el de la de Jaén á D. Antonio María de Lomas: para la vara de Al</t>
  </si>
  <si>
    <t>Josef Antonio de Sierra</t>
  </si>
  <si>
    <t>y en seguida se dixo la misa, en la que ofició el Rector del colegio el Dr. D. Josef Antonio de Sierra, Canónigo Magistral de la santa iglesia j pronunció el panegírico el P. Fr. Josef Carvallo, Catedrático</t>
  </si>
  <si>
    <t>Josef Antonio Gramaren</t>
  </si>
  <si>
    <t>. Luis Casly; y Subtenencia al Cadete D. Basilio Chicherio: en el de Ruttiman Subtenencia al Cadete D. Josef Antonio Gramaren: en el de Redirig el empleo de Ayudante al Teniente D. Antonio Stéeger; y Subtenencias á los Cafdetes D. Carlos Gretuer, D. Aloysio Jutz y D. Baltasar Nuderist. El Rey se ha digna</t>
  </si>
  <si>
    <t>Josef Antonio Martín Palomino</t>
  </si>
  <si>
    <t>o Talsac: para la de Villahermosa á D. Pedro Pascual García Barona: para la de la Mota del Cuervo á D. Josef Antonio Martin Palomino, todas en el territorio de la Orden de Santiago, de primera clase 6 entrada, y las dos últimas de nueva creación: para la de Porcuna, de tercera clase, á D. Antonio Valero; y para</t>
  </si>
  <si>
    <t>Josef Antonio Martínez del Corro</t>
  </si>
  <si>
    <t>uin de la Escalera: para la del Quintanar de la Orden á D. Angel del Busto: para la del Tomelloso á D. Josef Antonio Martínez del Corro: para la del Campo de Criptana á D. Gregorio Laredo Gil de Bernabé: para la de Villaescusa de Haro á D. Gregorio Sancho Granado, todas en el territorio de la orden de Santiago: pa</t>
  </si>
  <si>
    <t>Josef Antonio Molina</t>
  </si>
  <si>
    <t>or de la citada Secretaría: esta plaza.á D. Francisco Azua; y la que este dexa de Oficial segundo á Don Josef Antonio Molina. El 31 de Octubre próximo pasado entró en el puerto del Ferrol, procedente del de Montevideo, la corbeta de la Real Armada nombrada el Príncipe de Asturias, que salió de aquel pue</t>
  </si>
  <si>
    <t>Josef Antonio Priego</t>
  </si>
  <si>
    <t>con dimisión *de la Canóñgíá: para úna Canongía de la propia colegial ,* vacante por'promoción* dé D. Josef Antonio Priego á una de la catedral de Málaga, á D. Juan.Salomón Mayoral, Capellán de Coro dé la metropolitana de Toledo: para una Media-Ración de lá" catedral de Calahorra, vacante por muerte d</t>
  </si>
  <si>
    <t>Josef Antonio Quirds</t>
  </si>
  <si>
    <t>ada , D. Rafael de Molina, D. Josef Oliver, D. Tomas Cantero y Acosta, D. Juan Antonio Escalante, y D. Josef Antonio Quirds..,</t>
  </si>
  <si>
    <t>Josef Antonio Vázquez</t>
  </si>
  <si>
    <t>a Media-Ración de lá" catedral de Calahorra, vacante por muerte de D. Miguel Manuel de Echenique, á D. Josef Antonio Vázquez, Cura de la parroquia de S. Andrés de aquella ciudad: para la Prestamera de lá villa de la Osa d¿ ia Vega, en la diócesis dé Cuenca, vacante por fallecimiento de D. Lorenzo Mackeo</t>
  </si>
  <si>
    <t>Josef Antonio Vilar</t>
  </si>
  <si>
    <t>de Arcediano de Borriol de la Catedral de Tortosa, vacante por fallecimiento de D. Tomas Avaria, á D. Josef Antonio Vilar. El Rey se ha servido conferir Compañías en el Regimiento de infantería de Asturias al Ayudante del deToledo, graduado de Capitán, Don Josef López Paez: en el de América ai Ayudan</t>
  </si>
  <si>
    <t>Josef Antonio Xirau</t>
  </si>
  <si>
    <t>Monge , y en Barcelona en la de Brusi. Esté papel contiene una carta del Dr. D. Josef Antonio Xirau , Médico de la villa dé Perelada , alDr. D. Francisco Salva , Médico de Barcelona , en Ja qual le participa Id ocurrido con ios vacunados de aquella , en orden á la benignidad del mal , er</t>
  </si>
  <si>
    <t>Josef Aramburu</t>
  </si>
  <si>
    <t>an de San Llórente, D. Manuel Pardo Rivadeneyra, D. Josef de Miranda, D.. Francisco Díaz Melendez, D. Josef Aramburu, ¿.Francisco Echezarreta, D. Pablo Bustamante, D. Domingo Allende, D. Antonio Valcárcel, D. Antonio Díaz de Córdoba , D. Salvador Clavijo, D. Josef Julián, D. Francisco Topete, D.</t>
  </si>
  <si>
    <t>Josef Aranda</t>
  </si>
  <si>
    <t>Collantes;á Portaestandartes en ei mismo Cuerpo al Cadete D. Fernando Suarez, y al Sargento primero D. Josef Aranda: á- Alférezen el de Calatrava á D. Juan Vazquez; y á Portaestandarte al Sargento primero D. Josef Carbellido. En los de caballería ligera se ha servido igualmente el Rey promover</t>
  </si>
  <si>
    <t>Josef Araujo y Arguelles</t>
  </si>
  <si>
    <t>el Préstamo de Aldeaseca de la Frontera, en el obispado de Salamanca, vacante por fallecimiento de D. Josef Araujo y Arguelles, á D. Juan Nepomuceno Fernandez de la Peña. El Ret se ha servido conferir Compañías en los regimientos de infantería de Granada y voluntarios de Estado á sus caballeros Pages D. M</t>
  </si>
  <si>
    <t>Josef Arias Villafañe</t>
  </si>
  <si>
    <t>ra otra de la Real Audiencia de México, vacante por fallecimiento de D. Hemeterio Cacho Calderón, á D. Josef Arias Villafañe, Alcalde del crimen mas antiguo de ella. En Copenhague, y 4 leguas al rededor de aquella capital de Dinamarca, ha caído, á fines de Mayo próximo pasado, una lluvia de polvos de co</t>
  </si>
  <si>
    <t>Josef Arias Villafatíe</t>
  </si>
  <si>
    <t>S. M, nombrar para la plaza de Alcalde del crimen, vacante en la Audiencia de México por ascenso de D, Josef Arias Villafatíe á otra de Oidór, á D. Juan Collado: para la de Oidor que este dexa en la de Guatemala al de Buenos-Ayres D, Joaquín Bernardo Campuzano *, y para esta resulta á D. Manuel Josef de</t>
  </si>
  <si>
    <t>Josef Aristizabal</t>
  </si>
  <si>
    <t>D. Francisco Gerónimo García y D. Mateo de la Dehesa: á Tenientes á los Subtenientes de granaderos D. Josef Aristizabal y D. Nicolás Pimpin; y á los de fusileros D. Josef Lisola, D. Antonio Luna y D. Josef María Portocarrero: á Subtenientes de granaderos á los de fusileros D. Joaquín Carballo y D. Fran</t>
  </si>
  <si>
    <t>Jóséf Armendariz</t>
  </si>
  <si>
    <t>l i.exército se ha servido el Rey promover árTenlentes-A los .Subtenientes; B,i Blas Manuel Teruel, Don Jóséf Armendariz, JE).'iAntonio'Retúon del Valle» ,D. Josef María Dana» D. Josef Gortines , DvVicente Sancheg, !&gt;•' Joaquín de la Cruz, Don Rafael del Barrio , D. Joaquín Viado, D. Ignacio OrdoVas</t>
  </si>
  <si>
    <t>Josef Armiñan</t>
  </si>
  <si>
    <t>en el de Irlanda á D. Francisco Obregon y á D. Joaquín Rodríguez de Are llano: en el de Cantabria á D. Josef Armiñan: en el de Asturias á 'D. Francisco de Zayas: en el de Navarra á D. Manuel Mendoza y D. MigueFRuano: en el de Aragón á D. Pedro Gacet, y al de igual clase del de España D. Luis Coq</t>
  </si>
  <si>
    <t>Josef Arriaza</t>
  </si>
  <si>
    <t>Rey se ha servido nombrar para una Ración de la catedral de Segovia , vacante por fallecimiento de D. Josef Arriaza, á D. Policarpo Fernandez , Medio-Racionero de la misma; y para el Beneficio de la parroquial de lüescas, en.el arzobispado de Toledo, por fallecimiento de D. Andrés Madrigal , á</t>
  </si>
  <si>
    <t>Josef Atienza</t>
  </si>
  <si>
    <t>so de aritmética teórica y práctica, con el que qualquiera podrá sin maestro aprender á contar, por D. Josef Atienza. Se hallará en la librería de Dávila y en la de Gómez Fuentenebro, calle de las Carretas; y en Barcelona en la de Suarez. Las Novelas de Cervantes, en 3 tomos en 1 2.0, se hallará</t>
  </si>
  <si>
    <t>Josef Azcutia</t>
  </si>
  <si>
    <t>Real cuerpo de Guardias de Corps se ha servido S. M. promover á Exento de número al Supernumerario Don Josef Azcutia; y á Supernumerario al Cadete D. Francisco Arteága: á Cadete de número al Supernumerario D* Josef Olea , y á Supernumerario al Guardia D. Josef Muzquiz. El Rey se ha servido conce</t>
  </si>
  <si>
    <t>Josef Aznar</t>
  </si>
  <si>
    <t>osef Nuñez, D. Francisco Enrile, D. Juan Gaideano, D. Josef Burgués de Mesiessi, D. Manuel Lizarza, D. Josef Aznar y ¿.Francisco Simón Perez de Grandallana. A Alféreces de Navio los de Fragata' D. Juan Patricio Fournier, D. Luis Pedro Broysgroller, D. Carlos D’esmarest, D. Diego de la Vega, D. J</t>
  </si>
  <si>
    <t>Josef Bacener</t>
  </si>
  <si>
    <t>e del gobierno.” AMERICA ESPAÑOLA. Puerto-Rico s.S de Octubre de 18o$. Doña Antonia Aldao, muger de D. Josef Bacener, Oficial mayor de la Contaduría, dió á luz el mes pasado tres criaturas (un niño y dos niñas) del mismo parto. Murieron de ia enfermedad que aquí se llama másentelo. Aunque en la</t>
  </si>
  <si>
    <t>Josef Baltasar Casasus</t>
  </si>
  <si>
    <t>rcediano de la catedral del Paraguay á D. Miguel de los Arcos: para la Chantríaque dexa al Canónigo D. Josef Baltasar Casasus: para la Tesorería á D. Juan Bautista Quin de Baldovinos, también Canónigo de éíla; y para estas Canongías á D. Miguel Perez Bustillo y D. Baltasar de Amarilla , Curas de la misma</t>
  </si>
  <si>
    <t>Josef Banineti</t>
  </si>
  <si>
    <t>. Qualesquiera personas qúe por sucesión ú otro título tuviesen'derecho á los bienes abintestato de D. Josef Banineti, director que .fue del quartel de caballos de coche de la Real caballeriza , viudo de Dolía Ramona Delgado, natural de la cor»</t>
  </si>
  <si>
    <t>Josef Barbachano</t>
  </si>
  <si>
    <t>ento y D. Alfonso Tomico; á Tenientes de ios de Píasencia y Avila d los Subtenientes D. Pedro Lobo, D. Josef Barbachano , D. Tomas de Soldevilla, y D. Mariano de Becerrii; á Subteniente de granaderos del de Cuenca al de fusileros D. Benito Ramos Novillo ; y á Subtenientes de bandera de los de Lared</t>
  </si>
  <si>
    <t>Josef Barmetler</t>
  </si>
  <si>
    <t>ilar y Ozes. E11 el Regimiento Suizo deTraxler ha promovido S.M. á Capitán primero al de granaderos D. Josef Barmetler; y á Subteniente de granaderos al de íasiieros D. Cáilos Pe&gt;er: en el de Courten á Subtenientes de granaderos á los de fusileros D. Pedro Gueraty y D. Pedro Botta. En ¡os Regimien</t>
  </si>
  <si>
    <t>Josef Bastida</t>
  </si>
  <si>
    <t>embre. S. M. se ha servido nombrar para un Beneficio de la catedral de Urgel, vacante por muerte de D. Josef Bastida, á D. Josef Mariano Morera. El Rey se ha servido conferir Compañías en el regimiento de infantería de Murcia al Teniente, graduado de Capitañ, D. Vicente María</t>
  </si>
  <si>
    <t>Josef Bedoya</t>
  </si>
  <si>
    <t>astida y D. Juan Sedaño: en el de Saboya á D, Bruno Barrera : en el de Africa al Cadete del de León D. Josef Bedoya: en el de Guadalaxara á D. Josef Corbalan: en el de Sevilla á Don Ildefonso Rifa: en el de Granada á D. Rafael Arango y D. Gaspar Echevarría: en el de Valencia á D. Josef María Ce</t>
  </si>
  <si>
    <t>Josef Begaria y Fr</t>
  </si>
  <si>
    <t>Capellanías del primer batallón del regimiento de infantería de Irlanda y segundo dei de Nápoles á D. Josef Begaria y Fr. Antonio Rodríguez de S. Agustín. El Rey se ha dignado conceder Subtenencias de bandera en el regimiento de infantería de Granada al Sargento primero distinguido del mismo cuerpo</t>
  </si>
  <si>
    <t>Josef Benica</t>
  </si>
  <si>
    <t>ica, D. Manuel Cimavilla y D. Manuel Josef Valenzuela; á Tenientes de granaderos á los de fusileros D. Josef Benica y D. Francisco Diez Barroso; á Tenientes á los Subtenientes de granaderos D. Rafael Montero y D. Agustín de Aguirre, á los de fusileros D. Agustin de Urrutia, D. Josef de Uviella y D.</t>
  </si>
  <si>
    <t>Josef Benito Portell</t>
  </si>
  <si>
    <t>las y Walon^s J)_ Carlos Ravenet, D. Juan Bautista D’ Urtubie de Garro, D. Est^anCésar de Voinsins, D. Josef Benito Portell y D. Pedro Pascual ajares y Cañamas; y en el batallón de Tarragona á D. Francisco de Paula ■ Gordilio , Sargento segundo distinguido del regimiento de Voluntario^ ¿eiEstado. En Améric</t>
  </si>
  <si>
    <t>Josef Bermejo y Noriega</t>
  </si>
  <si>
    <t>a ciudad de Sevilla á D. Juan Antonio Bringas; y para el Corregimiento de letras de la de Anduxar á D. Josef Bermejo y Noriega. Asimismo ha venido S. M. en trasladar á la Vara de Alcalde mayor de la villa de Olívenza, de segunda clase, á D. Domingo Miguel Diez de Santillana, Alcalde mayor de la ciudad de</t>
  </si>
  <si>
    <t>Josef Bermudez de Castro</t>
  </si>
  <si>
    <t>egimiento de infantería de Mallorca á los Subtenientes D. Ramón de Latas y Lasaia, de granaderos, y D. Josef Bermudez de Castro: en el Suizo de Traxler al Subteniente de granaderos D. Juan Wcis; y ervel batallen de Voluntarios de Navarra al Subteniente, graduado de Capitán, D. Be.nno Lerzundi. También ha c</t>
  </si>
  <si>
    <t>Josef Bernich</t>
  </si>
  <si>
    <t>de la catedral de Gercna, vacante por fallecimiento de D. Bartolomé Roca, y por no haberle admitido D. Josef Bernich, que estaba nombrado para él, á D. Josef Ferrer y Aymerich: para otro de la parroquia de Luna, en la propia diócesis de Zaragoza, vacante por muerte de D. Rudesíndo Domínguez, á D</t>
  </si>
  <si>
    <t>Josef Betegon</t>
  </si>
  <si>
    <t>Martínez de Ariza. Para el Gobierno también militar y político de la plaza dé Alicante al Brigadier D. Josef Betegon, Coronel del Real cuerpo de'Artlllería : para el de la de Olivencia al Brigadier Don Manuel Herck , Coronel del Regimiento de infantería de Guadalaxara; y para la Tenencia de Rey</t>
  </si>
  <si>
    <t>Josef Bonaparte, Príncipe</t>
  </si>
  <si>
    <t>Príncipe Josef Bonaparte</t>
  </si>
  <si>
    <t>o á medio día. S. M. Imperial ha nombrado para la dignidad de Grande Electora Su Alteza Imperial el Príncipe Josef Bonaparte: para la de Condestable á S. Ai I. el Príncipe Luis Bonaparte: para la de Archi-Canciller del Imperio al Cónsul Cambaceres; y para la de Archi-Tesorero al Cónsul Lebrun. Estos dos</t>
  </si>
  <si>
    <t>Josef Bonillo</t>
  </si>
  <si>
    <t>r de la Historia natural en la universidad de Pavía : un tomo en 4.0: traducida, con adiciones, por D. Josef Bonillo, Cirujano que fué de la Real familia. Se hallará en ia librería de la viuda de Mafeo, carrera de S. Gerónimo: á 18 rs. en pasta. Aritmética, puesta en diálogo, para mejor intelige</t>
  </si>
  <si>
    <t>Josef Bravo</t>
  </si>
  <si>
    <t>„ Para el Gobierno del fuerte de Torremolinos ha nombrado el Rey al Capitán D. Josef Bravo, Teniente del Regimiento de infantería.de Navarra ; y para la Sargentía mayor de la plaza de la Puebla de Sanabria al Capitán D. Francisco Fernandez, Teniente del de Extremadura. En América</t>
  </si>
  <si>
    <t>Josef Brayer</t>
  </si>
  <si>
    <t>a plaza de Ceuta •? y á Subteniente de granaderos en el regimiento suizo de Courten al de lusileros D. Josef Brayer. S. M. se ha servido conceder Tenencias en ios regimientos de infantería de Zamora y Ultonia á los Subtenientes de granaderos D. Joset Gutiérrez y D. Josef Boery; y Subtenencia de</t>
  </si>
  <si>
    <t>Josef Brunner</t>
  </si>
  <si>
    <t>último del tomo 7.0: contiene e! ensayo de un sistema nuevo de mineralogía, escrito en «fieman por D. Josef Brunner, Inspector de Minas del Elector de Baviera, traducido al castellano por D. C. Herrgen: notas explicativas á este mismo sistema, por D. Ramón de la Quadra. Se hallará, con los ante</t>
  </si>
  <si>
    <t>Josef Buíl</t>
  </si>
  <si>
    <t>Ración de la parroquia de Vfllanúeva de la Huerva , diócesis de Zaragoza, vacante por promoción de D. Josef Buíl á un Beneficio de la parroquia de S; Miguel de la oíuda'dr dé Zaragoza, á D. Miguel Lagunas: para otro de la parroquia de AÍco— niá , en la propia diócesis de Zaragoza, vacante po</t>
  </si>
  <si>
    <t>Josef Burgués de Mesiessi</t>
  </si>
  <si>
    <t>o,D. Francisco de Murías, D. Mariano Leones, D. Josef Nuñez, D. Francisco Enrile, D. Juan Gaideano, D. Josef Burgués de Mesiessi, D. Manuel Lizarza, D. Josef Aznar y ¿.Francisco Simón Perez de Grandallana. A Alféreces de Navio los de Fragata' D. Juan Patricio Fournier, D. Luis Pedro Broysgroller, D. Carlos</t>
  </si>
  <si>
    <t>Josef Caballero</t>
  </si>
  <si>
    <t>eggP'S 1 D. Josef María Blak, D. Simón Mesía, D. Josef Godoy, D. Manuel Scoroez, D.Manuel Arévalo , D. Josef Caballero, D. Gaspar Orue , D.njltyfknuel Josel de Landa, D. Pedro Olea, D. Manuel Enna , D. Alonso Illlaipa, D. Josef León, D. Ildefonso Fonseca , D. Domingo Cándano, D. Jjjnsjw (Castañeda</t>
  </si>
  <si>
    <t>Josef Cabello</t>
  </si>
  <si>
    <t>anongía de la catedral de Truxiilo del Perú á D. Josef Valdivieso; y para la Ración que este dexa á D. Josef Cabello, Cura de Zelendin en aquel obispado. Por el Ministerio de Hacienda se ha comunicado, con fecha de 25 de Abril, la Real orden siguiente: Al Subdelegado de Rentas en Cádiz le dixe c</t>
  </si>
  <si>
    <t>Josef Cabeza</t>
  </si>
  <si>
    <t>ra clase D. Antonio de la Pena, D. Miguel Victorica , D. Andrés Trevilla, D. Ignacio Blanco Hervas, D. Josef Cabeza y D. Josef Bravo Bermudez. El premio de segunda clase le obtuvieron D. Tomas Araujo y D. Francisco Cantala.piedra : y el de tercera se concedió á D. Antonio Cordero j D. Josef Hervas,</t>
  </si>
  <si>
    <t>Josef Cacho</t>
  </si>
  <si>
    <t>ca. i.° : D. Diego Colon: Cervantes,Qnixote , edición grande de la Academia, 4 tomos en folio. 2.0: D. Josef Cacho: Virgilio cum notis variorum. 2.0: D. Carlos Altamirano: Terencio cum notis variorum. —, Astronomía y Cronología. i.° D. Juan de Salazar: Vayliy, Astronomía, tomos en 4.0 mayor. 2</t>
  </si>
  <si>
    <t>Josef Calderón de Robles</t>
  </si>
  <si>
    <t>baldos , en ei obispado de Cuenca , vacante por promoción de D. Josef Calderón de Robles á un Beneficio de Sta. Cecilia de la villa de MedeHin, en el de Placencia, á Dv Atanasio de Salcedo ; y para un Beneficio servidero de la parroquia de Santiago de la villa de Sepú</t>
  </si>
  <si>
    <t>Josef Camarón</t>
  </si>
  <si>
    <t>dro original de Alonso Cano, que se halla en Ja Parroquial de S. Crines en esta corte, dibuxado por D. Josef Camarón, Pintor de cámara de S. M., y grabado por D. Luis Fernandez Noseret, discípulo de D. Manuel Salvador Carmona. Se hallará en la calcografía establecida en la imprenta Real. Por aut</t>
  </si>
  <si>
    <t>Josef Campillo y Cosío</t>
  </si>
  <si>
    <t>a población de esta parte del globo; y método de beneficiar las minas de plata y oro, compuesto por D. Josef Campillo y Cosío: un tomo en 8.° marquiila. Se hallará en la librería de Hurtado, calle de las Carretas. Escuela de arquitectura civil, en que se contienen los órdenes de arquitectura, Ja distribu</t>
  </si>
  <si>
    <t>Josef Canet</t>
  </si>
  <si>
    <t>Ui i Conversaciones sóbrela vacuna , muy útiles é importantes *. su autor el Dr. Don Josef Canet, Medico de la ciudad jdc Tarragona. Esta obra contiene todo lo concerniente al origen, naturaleza y progresos de la vacuna; trata de lo que ha resultado en los invacunados, en med</t>
  </si>
  <si>
    <t>Josef Canga Arguelles</t>
  </si>
  <si>
    <t>ncia de Murcia á D011 Martin’de Garay, .Contador de Exército de- Valencia ,v para esta Contaduría á D. Josef Canga Arguelles, Oficial tercero primero de la dicha Secretaria dé Estado y del Despachó de7Hacienda: para la Intendencia éé la ptóvineia dé Jaén á D. Manuel de Asprery que lo era de la de Soria:</t>
  </si>
  <si>
    <t>Josef Canudes y Mercadal</t>
  </si>
  <si>
    <t>Esteban segundo* unido al de S. Miguel de la Parroquial de la villa de Berga, Diócesi de Solsona, á D. Josef Canudes y Mercadal. El Rey se ha servido conceder Ayudantía en el Regimiento de infantería de Zaragoza al Teniente, graduado de Capitán, D. Ramón García de Linares. S. M. se ha servido promover á Ge</t>
  </si>
  <si>
    <t>Josef Carbellido</t>
  </si>
  <si>
    <t>sef Aranda: á- Alférezen el de Calatrava á D. Juan Vazquez; y á Portaestandarte al Sargento primero D. Josef Carbellido. En los de caballería ligera se ha servido igualmente el Rey promover á Teniente en el de cazadores de Pavía á D. Josef Montero; y á Ayudante del de Húsares Voluntarios á D. Manue</t>
  </si>
  <si>
    <t>Josef Carbó</t>
  </si>
  <si>
    <t>Barcelona: primer endoso á D. Antonio Ignacio Gutiérrez de Pando, en Tarragona : segundo y último á D. Josef Carbó. Quien lo hubiese hallado lo devolverá al citado D. Josef Carbó , en Barcelona, ó á D. Antonio Ignacio Gutiérrez de Pando , en Tarragona. Con Real facultad y á voluntad de su dueñ</t>
  </si>
  <si>
    <t>Josef Carbó Falcon</t>
  </si>
  <si>
    <t>r para dos Canongías de la Real iglesia de S. Isidro: para la primera, vacante por fallecimiento de D. Josef Carbó Falcon, á D. Francisco Palau y Castaño, Cura de la villa de Albace</t>
  </si>
  <si>
    <t>Josef Cardona y Antonio Chicheri</t>
  </si>
  <si>
    <t>l de Valencia á D. Josef María Cendrera, D. Manuel Ramírez y D. Benito Barraguer: en el de España á D. Josef Cardona y Don Antonio Chicheri: en el de Toledo á D. Blas Muñoz de Toro y D. Angel Montes y Ordoñez : en el de Mallorca á D. Juan Francisco Suarez de Arango y D. Juan Wenceslao Henriquez: en el de León á D. Man</t>
  </si>
  <si>
    <t>Josef Carmen Quintana</t>
  </si>
  <si>
    <t>tán, .y Portaestandarte, de sus respectivos cuerpos.; y á Ayudante en el de cazadores de Aimansa: á D. Josef Carmen Quintana, Teniente del propio regimiento. En América. El Rey se ha servido nombrar para la Chantría de la metropolitana de México, vacante por fallecimiento deD. Manuel Antonio Sandovai, á</t>
  </si>
  <si>
    <t>Josef Carrera</t>
  </si>
  <si>
    <t>. Rafael Gavilán; y á Subtenientes de bandera al Cadete D. Francisco Martínez y al Sargento segundo D. Josef Carrera. Los tenedores de Vales-dinero de la Tesoreria.de Consolidación, de la creación de i.° de Enero, los presentarán en la misma Tesorería para su renovación, ó percibir su importe en</t>
  </si>
  <si>
    <t>Josef Castellar</t>
  </si>
  <si>
    <t>an Francisco Azpiroz, D. Josef Velarde,y D. Joaquín Grandona;y á Capitanes segundos á los Tenientes D. Josef Castellar, D. Pedro Díaz de Ribera , y D. Benito Irazabal.. S*. M.. se. ha servido nombrar para- una Tenencia en el regimiento de caballería de Almansa., tercero de-cazadores,, á D^Luís Mex</t>
  </si>
  <si>
    <t>znar. En el Real cuerpo de Ingenieros del exército ha promovido el Rey á Capitán primero al secundo D. Josef Castellar. Condescendiendo el Rey con la súplica que le ha hecho D. Josef Henriquez de Luna, Fiscal del crimen de la Chancillen! de Granada, ha venido S. M. en jubilarle, conservándole todo</t>
  </si>
  <si>
    <t>Josef Castilla</t>
  </si>
  <si>
    <t>Trevilla. S.M. se ha servido promover en el regimiento de caballería del Rey á Teniente al Alférez D. Josef Castilla: en el de caballería de Borbon á Teniente Coronel al Sargento mayor D. Julián de Vera; y en el de cazadores del Rey á Ayudante ai Teniente D. Francisco de Paula O-Campo. S. M. se</t>
  </si>
  <si>
    <t>Josef Castillo</t>
  </si>
  <si>
    <t>. se ha servido nombrar para una Canongía de la catedral de Sigüenza , vacante por fallecimiento de D. Josef Castillo, á D. Manuel Esteban Alcalá y Sánchez , Cura Rector del lugar de Novallas, diócesis de T.arazona: para otra de ia colegial de Roa, diócesis dé Osrna, vacante por fallecimiento de</t>
  </si>
  <si>
    <t>Josef Catalan, Ventura</t>
  </si>
  <si>
    <t>Ventura Josef Catalan</t>
  </si>
  <si>
    <t>s memoriales al ilustre Ayuntamiento de dicha vüla por mano de su Secretario, Escribano mas antiguo D. Ventura Josef Catalan; en inteligencia de que se ha de proveer la plaza por oposición al finar los dos meses siguientes, cuyo término principiará á contarse desde el dia de la fecha. En la villa de Urd</t>
  </si>
  <si>
    <t>Josef Cavanilles, Antonio</t>
  </si>
  <si>
    <t>Antonio Josef Cavanilles</t>
  </si>
  <si>
    <t>crocnemo, y de algunas plantas descubiertas por los españoles: jardín de la Malmaison: extracto por D. Antonio Josef Cavanilles: las Lil laceas de P. J. Redouté : segundo semestre de las observaciones meteorológicas de 1803. Se hallará con los, anteriores en el despacho de Ja imprenta Real.. Habiéndose dot</t>
  </si>
  <si>
    <t>Josef Cebrero de Losada</t>
  </si>
  <si>
    <t>e memorial, y documentos que acrediten su idoneidad y conducta al Escribano del citado Ayuntamiento D. Josef Cebrero de Losada; en inteligencia de que se concederá al protendiente mas benemérito. Los subscriptores á la historia de los Caballeros hospitalarios de S. Juan de Jerusaíen acudirán á recoger el</t>
  </si>
  <si>
    <t>Josef Cerda</t>
  </si>
  <si>
    <t>sco Martin: para otro de la villa de Constanti, diócesis de Tarragona, vacante por fallecimiento de D. Josef Cerda, á D. Antonio Roca. El Rey se ha servido nombrar para la plaza de Alcalde de su Real casa y corte, vacante por fallecimiento de D. Joaquín Herranz, ¿ Don Francisco Xavier Duran: p</t>
  </si>
  <si>
    <t>Josef Chacón</t>
  </si>
  <si>
    <t>er á Capitanes primeros á los Capitanes segundos D. Jesualdo López Sahajosa , D. Antonio Miralles , D. Josef Chacón y D. Pedro Orduña; á Capitanes segundos á los Tenientes D. Luis Negron, D. Francisco del Rey y D. Miguel Baños López; y á Tenientes á ios Subtenientes D. Manuel Autran y D. Josef Alme</t>
  </si>
  <si>
    <t>de Tarragona se ha servido S. M. promover á Subteniente de bandera al Sargento primero distinguido D. Josef Chacón. Ei Consejo, á consulta de la Comisión gubernativa de Consolidación de vales , y con aprobación de S. M., ha acordado la sexágesimaquinta amortización de vales , según queda publi</t>
  </si>
  <si>
    <t>tellana. 2.0 : D. Angel Saavedra: Cervantes, Quixote,6 tomos en 12.a de la imprenta Real. Accessit: D. Josef Chacón: Comentarios de César, traducción de Valbuena, 2 tomos en 8.° Accessit: D. Josef Junquera:. Mendoza, Guerra de Granada, Gramática castellana.___'Sintaxis . Propiedad ¿y Prosodia.</t>
  </si>
  <si>
    <t>uis Pedro Broysgroller, D. Carlos D’esmarest, D. Diego de la Vega, D. Josef de León, D. Luis Pardo, D. Josef Chacón, D. Martin de la Quintana, D. Cayetano Picado, Don Francisco Villavicencio, D. Luis de Basave, D. Francisco de la Lastra, D. Felipe Saavedra, D. Josef Melgares, D.. Alonso Ramírez</t>
  </si>
  <si>
    <t>Josef Chaix</t>
  </si>
  <si>
    <t>culo diferencial é integral, con sus aplicaciones principales á las matemáticas puras y mixtas, por D. Josef Chaix, Vice-Director del Real Cuerpo de Ingenieros Cosmógrafos de Estado: tomo 1.® Contiene el cálculo diferencial y sus aplicaciones. En esta obra se demuestran los principios del cálc</t>
  </si>
  <si>
    <t>Josef Chaves</t>
  </si>
  <si>
    <t>.......... . 4*5" 6 Josef Chaves........................ Carrillo............................ ,4I •25 Domingo .-\.mbros , Cabo.» Es Teniente de Volunta­ Joacf Cortes......................... Andraz..................</t>
  </si>
  <si>
    <t>Josef Cheli</t>
  </si>
  <si>
    <t>Regimiento de caballería de línea del Rey se ha servido S. M. promover á Alférez ai Portaestandarte D. Josef Cheli: á Capitán en el del Infante al Ayudante,graduado deCapitan, D. Juan Darailh: á Portaestandartes en el de Farnesio al Sargento primero D. Dionisio García, y al Cadete D. Benigno A</t>
  </si>
  <si>
    <t>Josef Chichery</t>
  </si>
  <si>
    <t>edro Sattler y D. Josef JBrayer, Subtenientes de granaderos del mismo: en el de WimpíFen Tenencia á D. Josef Chichery, Subteniente de granaderos: en el de Traxler Tenencia al Subteniente de granaderos D. Luis Casly; y Subtenencia al Cadete D. Basilio Chicherio: en el de Ruttiman Subtenencia al Ca</t>
  </si>
  <si>
    <t>Josef Chiva</t>
  </si>
  <si>
    <t>nado nombrar á Ayudante en el regimiento de infantería de Córdoba al Teniente, graduado de Capitán, D. Josef Chiva: á Tenientes en los de Mallorca y Jaén á los Subtenientes D. Félix de Toda y D. Francisco Alegre ; y i Capitán segundo en el de Suizos de Ruttiman al Teniente dé granaderos D. Víc</t>
  </si>
  <si>
    <t>Josef CieafueggP'S</t>
  </si>
  <si>
    <t>lc¡¡í de Fragata D. Domingo Marcell, que ec^grsídmiado, D. Leandro de Ocio, que lo era igualmente, D. Josef CieafueggP'S 1 D. Josef María Blak, D. Simón Mesía, D. Josef Godoy, D. Manuel Scoroez, D.Manuel Arévalo , D. Josef Caballero, D. Gaspar Orue , D.njltyfknuel Josel de Landa, D. Pedro Olea, D. M</t>
  </si>
  <si>
    <t>Josef Cienfuegos</t>
  </si>
  <si>
    <t>a se ha servido el Rey promover á Teniente Coronel alGefe de brigada, graduado de Teniente Coronel, D. Josef Cienfuegos: á Sargentos mayores á Los Capitanes primeros D. Cayetano Saqueti, y D. Diego Salido; y á Capitanes primeros á los segundos D. Gil Saenz deTeiada,D. Josef Hidalgo, y D. Francisco</t>
  </si>
  <si>
    <t>Josef Coitar</t>
  </si>
  <si>
    <t>osofía. 2°: D. Luis Gutiérrez de los Ríos: Condillac, Curso de estudios, 10 tomos en 8.° en 5. 2.0: D. Josef Coitar: Degerando , Arte de pensar, 4 tomos un 8.° mayor. 2.0: D. Francisco Montalvo : Condillac, Origen de los conocimientos humanos, 3 tomos en 8.®__ Economía política. i.°: D. Luis Gu</t>
  </si>
  <si>
    <t>Josef Colina ViUairueva</t>
  </si>
  <si>
    <t>amih Tenencias de fusileros en los de Sigiienza , Laredo y Jae» á ios Subtenientes D. Josef SegovH, D. Josef Colina ViUairueva y D. Antonio Barrionuevo; y Subtenencia de bandera en los de Chinchilla, Avila y Santiago al; Subteniente agregado Dv Antonio Lope» del Castillo * á I&gt;. Be</t>
  </si>
  <si>
    <t>Josef Collar</t>
  </si>
  <si>
    <t>naciones, 5 tomos en 8.° 2.0: D. Juan Alvarez Acevedo, Say, Economía política, 2 tomos en 8.° 2.0: D. Josef Collar: Herrenschuand, 2 tomos en 8.® 2.0: D. Francisco Montalvo: Simonde , Riqueza c-omercial, 2 tomos en 8.® __ Lengua francesa. i.°: D. Josef Cacho: Diccionario de la Academia frances</t>
  </si>
  <si>
    <t>Josef Conde</t>
  </si>
  <si>
    <t>141.25 Josef Conde........... .............. Romeral........................- 141-25 Bernardo Gómez................ Escalonilla...., 141-25 Santiago Perez......</t>
  </si>
  <si>
    <t>Josef Corbalan</t>
  </si>
  <si>
    <t>á D, Bruno Barrera : en el de Africa al Cadete del de León D. Josef Bedoya: en el de Guadalaxara á D. Josef Corbalan: en el de Sevilla á Don Ildefonso Rifa: en el de Granada á D. Rafael Arango y D. Gaspar Echevarría: en el de Valencia á D. Josef María Cendrera, D. Manuel Ramírez y D. Benito Barr</t>
  </si>
  <si>
    <t>Josef Corones</t>
  </si>
  <si>
    <t>Valdasano, Dj, Manuel de Cañas, D. Josef del Castillo, D. Manuel de Palacio^11). JAcanta Romarate, D. Josef Corones, D. Nicolás de la Vega, D/MamutE Lasqucti, D. Ramón Rato, Don Roque Diaz,D. Miguel Daza,D. Diegf ]fadara,D. RamónTrullol, Don Juan Olaegui, D. Víctor Vinader, D.,.Vicente de Lago,</t>
  </si>
  <si>
    <t>Josef Cosío</t>
  </si>
  <si>
    <t>Capitán al Teniente de granaderos D. Francisco González ; á Teniente de granaderos al de fusileros D. Josef Cosío ; á Teniente ai Subteniente de granaderos D. Juan Urquidi,; á Subteniente de granaderos al de fusileros D. Antonio Cayre, y á Subteniente de bandera al Sargento primero distinguid</t>
  </si>
  <si>
    <t>Josef Cov-ían</t>
  </si>
  <si>
    <t>ntre ellos, y en los respectivos ramos de su clase D. Fermín Ballesteros y Cardaza, D. Angel Ruiz , D. Josef Cov-ían-, D. Josef Miquez , Ramón Rodríguez y D!. Josef Poladura, el que mas de 10 años de edad, y D. Miguel Miquez y Emidio Aragunde de 12. años: de manera que todos los circunstantes no</t>
  </si>
  <si>
    <t>Josef Crespo</t>
  </si>
  <si>
    <t>s disciplinadas de las Qnatro Villas , en la isla de Cuba , á Capitán de granaderos al de fusileros D. Josef Crespo: á Capitán á D. Josef Sauri, Subteniente de granaderos: á esta resulta al de fusileros D. Joaquín Vigil; y á Subteniente de bandera al Cadete D. Juan Fernandez de Lara : y en el b</t>
  </si>
  <si>
    <t>Josef Cruzat</t>
  </si>
  <si>
    <t>ad. Asimismo ha promovido S. M. en el regimiento de infantería de la Luisiana á Capitán al Ayudant^ D. Josef Cruzat^y á esta resulta al Teniente D. Benigno García Calderón; á Tenientepe granaderos al de fusileros D. Vicente Fernandez Texeyro; á Tenientes los Subtenientes de granaderos D. Josef</t>
  </si>
  <si>
    <t>Josef Dalp y Rosa</t>
  </si>
  <si>
    <t>, en premio de su aplicación y mérito, á los caballeros Cadetes del Real colegio militar de Segovia D. Josef Dalp y Rosa, D. Josef Sánchez Boado y Reguera, D. Francisco Mena y Ferran, D. Luis *Lardizabal y Montoya, D. Josef Medrano y Treviño, D. Joaquin Escario y Carrasco, D. Joaquin Vivanco y Yun ,</t>
  </si>
  <si>
    <t>Josef de Alba Mazariegos</t>
  </si>
  <si>
    <t>levar (sin que estas tengan viñedo), ó alguna dehesa, acuda á tratar por escrito, ó en persona, con D. Josef de Alba Mazariegos, que vive eii la calle de la Encomienda, níim. 2, quarto 2.0, casa que fué del papel sellado. El gr de Julio último falleció abintestato en la villa de Noya, Reyno de Galicia, O.</t>
  </si>
  <si>
    <t>Josef de Aldána y Pérez Roxo</t>
  </si>
  <si>
    <t>rza y Tamba, D. Mariano Bermudez de Gañas] P. Josef Salcedo y Zuloaga', D. Ignacio Me^dina y Iluet, D. Josef de Aldána y Perez Roxo , D.Joseph Navarro y Montemayor, D. Manuel: Meñendez Vaides, D. Francisco Quiroga y Osores, D. Manuel Esqúivel y Castañeda , D. Diego Varo Franco, Don Pedro de la Barreda, D. Igna</t>
  </si>
  <si>
    <t>Josef de Alday</t>
  </si>
  <si>
    <t>cretaría por el orden de su antigüedad D. Josef de Torre, D. Miguel de Orvaneja, D. Antonio Garayo, D. Josef de Alday, D. Josef de Iturralde, D. Bernardo Diosdado, D. Deogracias Cardenal, D. Feliciano de Guizaburuaga y D. Jcsef de Acevedo y Villaroel; habiendo conferido la penúltima plaza á D. Fr</t>
  </si>
  <si>
    <t>Josef de Avila, Manuel</t>
  </si>
  <si>
    <t>Manuel Josef de Avila</t>
  </si>
  <si>
    <t>frotaciones del aceyte, y todos están muy aliviados, y sin apariencia de peligro por la presente.”—„D. Manuel Josef de Avila, Cirujano mayor del referido hospital, y Julián Su-, dea, profesor de cirugía, y primer practicante, que habían presenciado las operaciones del Lie. Arias, atestáron, baxo juramen</t>
  </si>
  <si>
    <t>Josef de Boo, Cayetano</t>
  </si>
  <si>
    <t>Cayetano Josef de Boo</t>
  </si>
  <si>
    <t>ar para la primera de las dos Medias-Raciones nuevamente erigidas en da catedral de BuenosAyres , á D. Cayetano Josef de Boo, Cura Rector de la misma catedral; y para la segunda á D. Domingo de Beigrano , también Cura Rector de ia parroquia de la Concepción de la propia ciudad. El Rey se ha servido conf</t>
  </si>
  <si>
    <t>Josef de Cabredo</t>
  </si>
  <si>
    <t>a teneduría de libros en partida doble, escrita en francés por Mr. Miteau Blavíile, y traducido por D. Josef de Cabredo. Se hallará en la librería de Ciaros, calle del Arenal; en Cádiz en la de Pajares, en Barcelona en la de Sierra, en Málaga en la de Carreras, en Valencia en la de Benedito , en Al</t>
  </si>
  <si>
    <t>Josef de Cáceres</t>
  </si>
  <si>
    <t>s al Sargento mayor D. Josef García de Paredes , graduado de Teniente Coronel , y al Sargento mayor D. Josef de Cáceres; habiendo también nombrado el Rey Guarda-Almacén extraordinario de Artillería del castillo de Monjuich, en Barcelona, á Doii Juan González , Sargento primero del quinto regimiento</t>
  </si>
  <si>
    <t>Josef de Calzada</t>
  </si>
  <si>
    <t>e línea se ha servido el Rey promover en el de Montesa á Sargento mayor al Capitán del de Alcántara D. Josef de Calzada, graduado de Teniente Coronel: á Teniente en el de Algarbe á D. Pascual) de Molina; y á Portaestandarte en el de España ai Sargento primero D. Manuel Lebon. Asimismo se ha servido</t>
  </si>
  <si>
    <t>Josef de Camino</t>
  </si>
  <si>
    <t>cluyan las láminas. El Ivempis, ó lá Imitación de Jesucristo, traducido del latin al castellano por D. Josef de Camino. Al fin del último libro contiene tres tratados espirituales, el i.° de vida cristiana, el 2.0 imitación de las acciones de Jesucristo, y el 3.0 visita á Jesucristo en el SS. Sacr</t>
  </si>
  <si>
    <t>Josef de Casaviella</t>
  </si>
  <si>
    <t>de Zamora, que obtenia D. Tomas Soldevilla , y han vacado por habe§ abrazado la carrera militar, á D. Josef de Casaviella, concediéndole permiso para que pueda impetrar de la Sta; Sede la correspondiente dispensa de menor edad^ para una Canongía de lá Catedral de’Tudela, vacante por fallecimiento deD</t>
  </si>
  <si>
    <t>Josef de Castilla</t>
  </si>
  <si>
    <t>ayarroi - ■' &lt;, &gt; ;;; * Por el correo de 18 de Máyo próximo yemitió IX.Francisco de las barredas á, D. Josef de Castilla, vecino del Campo de Criptana , un-vale Real dé 300 pesos, creación de r.° de Mayo, núm. 432,553; y habiéndose extraviado, se suplica á la persona en cuyo poder se halle Je entreg</t>
  </si>
  <si>
    <t>Josef de Castro</t>
  </si>
  <si>
    <t>asco y D. Manuel Cámara. Y es también digno de publicarse, que el Cadete de Reales Guardias Walonas D. Josef de Castro no perdió el derecho á este premio sino porque sola una vez estuvo de poste por hablar en la vela. Madrid7 de Agosto*. El sábado de la semana anterior se trasladaron los Reyes y P</t>
  </si>
  <si>
    <t>Josef de Covos</t>
  </si>
  <si>
    <t>á los que se ignoran ó puedan acreditarlo, para que lo executen, ante su secretaría y escribanía de D. Josef de Covos, por el preciso, único y perentorio término de 30 dias, que empezarán á correr desde i.° de Octubre próximo; en inteligencia, que pasado se procederá á entregar dichos bienes y he</t>
  </si>
  <si>
    <t>Josef de Guevara</t>
  </si>
  <si>
    <t>cante una plaza del Consejo de las Ordenes, correspondiente á la de Santiago , por fallecimiento de D. Josef de Guevara &lt;Va sconcelos, quiero que* pase á servirla D. Lope de Peñaranda, respecto de c^ue siendo la que obtiene correspondiente á la de Calatrava, la está sirviendo con el hábito de Santi</t>
  </si>
  <si>
    <t>Josef de Guevara Vasconcelos</t>
  </si>
  <si>
    <t>ido nombrar para una Canongía de la Iglesia Metropolitana de Zaragoza, vacante por fallecimiento de D. Josef de Guevara Vasconcelos, á D. Benito Fernandez Navarrete: para otra de la Colé-* gjal de Besalu, en el Obispado de Gerona , vacante por muerte de Don Josef ftelf, á D. Pedro Bataller y Costa. El Rey se h</t>
  </si>
  <si>
    <t>Iil i.° de Noviembre falleció en esta Corte, á los 66 años y 3 me-' ses cumplidos de edad , el Sr. D. Josef de Guevara Vasconcelos, Presbítero, Caballero de la Orden de Santiago, del Consejo de S. M. en el Real de las Ordenes, Ministro de la Real Junta general de Comercio, Moneda y Minas, y Canónigo de la Sta</t>
  </si>
  <si>
    <t>Josef de Hevia</t>
  </si>
  <si>
    <t>granaderos al de fusileros D. Vicente Fernandez Texeyro; á Tenientes los Subtenientes de granaderos D. Josef de Hevia , D. Tomas Estch^ y J&gt; Pedro Devcrges, y los de fusileros D. Francisco Garic, graduado , de Teniente, D. Francisco Martínez y D. Josef Alpanseque ; á Subsidíenles de granaderos á</t>
  </si>
  <si>
    <t>Josef de Iturralde</t>
  </si>
  <si>
    <t>en de su antigüedad D. Josef de Torre, D. Miguel de Orvaneja, D. Antonio Garayo, D. Josef de Alday, D. Josef de Iturralde, D. Bernardo Diosdado, D. Deogracias Cardenal, D. Feliciano de Guizaburuaga y D. Jcsef de Acevedo y Villaroel; habiendo conferido la penúltima plaza á D. Francisco Xavier de Amest</t>
  </si>
  <si>
    <t>Josef de la Concha</t>
  </si>
  <si>
    <t>Coronel, y D. Federico Garcen de Sanjust: á Capitanes primeros á los segundos D. Santiago de Luna, D. Josef de la Concha, D. Florencio dfe, Areizaga y D. Cayetano de Ribas, el primero, segundo y quarto Ayudantes :á este empleo á los Capitanes segundos D. Francisco Valderrama, D. Josef Power.y D. Jos</t>
  </si>
  <si>
    <t>Josef de la Huerta</t>
  </si>
  <si>
    <t>upernumerario al Guardia D. Francisco Carrero; y en la segunda á Cadete de número a! Supernumerario D. Josef de la Huerta, y á Supernumerario al Guardia D. Josef Olea. En la Compañía Flamenca del Real cuerpo de Guardias de Corps se ha servido el Rey promover á Brigadier al Subrigadier D. Pedro Du— bo</t>
  </si>
  <si>
    <t>Josef de la Peña</t>
  </si>
  <si>
    <t>da; á Subtenientes dé fusileros á los Cadetes D. Josef Félix Pedraja, D. Antonio Ladrón dé Guevara, D. Josef de la Peña y D. Josef Estrada, y á Subtenientes de bandera á D. Francisco Gutiérrez de Arredondo y D. Francisco Melgosa , vecinos de aquella provincia. Por el Ministerio de Guerra se ha comunica</t>
  </si>
  <si>
    <t>Josef de la Portilla</t>
  </si>
  <si>
    <t>a plaza de Ministro togado del Consejo de Indias, vacante por fallecimiento de D. Manuel de Soto, á D. Josef de la Portilla, Regente de la Audiencia del Cuzco; y para las Asesorías de los Gobiernos é Intendencias de Durango y S. Luis de Potosí,áD. Pedro Telmo Landeroy D.Josef Manuel Ruiz de Aguirre. As</t>
  </si>
  <si>
    <t>- . . r También ha conferido S. M. la Regencia de la Audiencia deL;Ci{zco* vacante por promoción de D. Josef de la Portilla á plaza togada, def Consejo de Indias , á D. Josef Pareja, Fiscal de lo civil de la de Liína.' Finalmente, atendiendo el Rey al mérito y circunstancias del Teniente Coronel D. Fel</t>
  </si>
  <si>
    <t>Josef de la Rocque y Urrutia, Felipe</t>
  </si>
  <si>
    <t>Felipe Josef de la Rocque y Urrutia</t>
  </si>
  <si>
    <t>e Mallorca yen el primer batallón de Voluntarios de Aragón á los Subtenientes de los mismos cuerpos D. Felipe Josef de la Rocque y Urrutia y D. Josef Aznar. En el Real cuerpo de Ingenieros del exército ha promovido el Rey á Capitán primero al secundo D. Josef Castellar. Condescendiendo el Rey con la súplica que le ha hec</t>
  </si>
  <si>
    <t>Josef de la Rocque y Urrutia, Manuel</t>
  </si>
  <si>
    <t>Manuel Josef de la Rocque y Urrutia</t>
  </si>
  <si>
    <t>nto de infantería de Mallorca se ha servido el Rey promover á Teniente al Subteniente de granaderos D. Manuel Josef dé la Rocque y Urrutia; y á Capitán segundo en el batallón de Voluntarios de Navarra ai Teniente D. Félix Perez. Por providencia del Sr. D. Diego Gil Fernandez, del Consejo de S. M., Alcalde de su Real</t>
  </si>
  <si>
    <t>Josef de la Torre</t>
  </si>
  <si>
    <t>ido promover en el regimiento de Reales Guardias Españolas á Teniente de granaderos al de fusileros D. Josef de la Torre. El Rey se ha dignado nombrar á Tenientes en el regimiento de infantería de Mallorca á los Subtenientes D. Ramón de Latas y Lasaia, de granaderos, y D. Josef Bermudez de Castro: e</t>
  </si>
  <si>
    <t>Josef de la Vega y Bolaño</t>
  </si>
  <si>
    <t>la villa de Arjona, en el Obispado de Jaén, vacante por fallecimiento de D. Francisco Izquierdo, á D. Josef de la Vega y Bolaño: para otro de residencia, baxo la invocación de Sta. María, unido á otros quatro de la misma, de la Parroquial de la ciudad de Cervera, Diócesi de Solsona, á D. Domingo Colletes y</t>
  </si>
  <si>
    <t>Josef de Lara, Juan</t>
  </si>
  <si>
    <t>Juan Josef de Lara</t>
  </si>
  <si>
    <t>Pareja y D. Josef Genant: la Subtenencia de granaderos del de Bujalance al Subteniente de fusileros D. Juan Josef de Lara; y la de bandera del mismo Cuerpo á D. Juan María de Melgar. El Rey se ha servido nombrar á D. Andrés de Subiza para una plaza de Alcalde del Crimen de la Real Audiencia deCátaluñ</t>
  </si>
  <si>
    <t>Josef de León</t>
  </si>
  <si>
    <t>' D. Juan Patricio Fournier, D. Luis Pedro Broysgroller, D. Carlos D’esmarest, D. Diego de la Vega, D. Josef de León, D. Luis Pardo, D. Josef Chacón, D. Martin de la Quintana, D. Cayetano Picado, Don Francisco Villavicencio, D. Luis de Basave, D. Francisco de la Lastra, D. Felipe Saavedra, D. Jo</t>
  </si>
  <si>
    <t>Josef de Luna</t>
  </si>
  <si>
    <t>primer regimiento del Real cuerpo de Artillería D. Francisco de Hore; y esta resulta al Subteniente D. Josef de Luna. Igualmente ha conferido el Rey la Sargentía mayor del regimiento de caballería de Olivencia, tercero de húsares, al Teniente Coronel D. Pe</t>
  </si>
  <si>
    <t>Josef de Mazar</t>
  </si>
  <si>
    <t>Supl., p. 10</t>
  </si>
  <si>
    <t>baxeles del Rey............................. 45* 26. Rudimentos de táctica naval, por el Excmo. Sr. D. Josef de Mazar redo, Teniente General de la Real Armada: un tomo en pasta, papel marquilla. 48. 35 Idem en papel regular*......,...................... . 4O. 30.* Señales para esquadras, por el m</t>
  </si>
  <si>
    <t>Josef de Michilena, Juan</t>
  </si>
  <si>
    <t>Juan Josef de Michilena</t>
  </si>
  <si>
    <t>de D. Nicolás de Viiianueva , al Medio-Racionero D. Agustín Valerio González; y para esta resulta á D. Juan Josef de Michilena , Gura del Sagrarlo de Mechoacan. En el regimiento de Milicias disciplinadas de infantería de la Havana se ha servido promover el Rey á Capitán de granaderos al Teniente Coronel D</t>
  </si>
  <si>
    <t>Josef de Miranda</t>
  </si>
  <si>
    <t>esse.. También se ha servido S. M. promover á Teniente en el regimiento de infantería de Zaragoza ¿ D. Josef de Miranda , Subteniente del mismo CUeEn elRéal Cuerpo de artillería'se ha servido el Rey promover ¿ Sargento mayor del primer regimiento al Capitán primero D. Joaquin de {barra, y a Sargent</t>
  </si>
  <si>
    <t>intano, D. Josef Montaibo, D. Pedro García, Don j» an de San Llórente, D. Manuel Pardo Rivadeneyra, D. Josef de Miranda, D.. Francisco Díaz Melendez, D. Josef Aramburu, ¿.Francisco Echezarreta, D. Pablo Bustamante, D. Domingo Allende, D. Antonio Valcárcel, D. Antonio Díaz de Córdoba , D. Salvador C</t>
  </si>
  <si>
    <t>Josef de Mollincdo</t>
  </si>
  <si>
    <t>e Santiago, vacante por promoción de D. Juan Bautista Sacristán á la Mitra de Santa Fe de Bogotá, á D. Josef de Mollincdo: para el Beneficio Préstamo de Valderas, en el Obispado de León, vacante por haber sido nombrado D. Bernardo Delgado Quadrillero para plaza de Oficial de la Secretaría de la Junta</t>
  </si>
  <si>
    <t>Josef de Natfas, Juan</t>
  </si>
  <si>
    <t>Juan Josef de Natfas</t>
  </si>
  <si>
    <t>Josef María de Carvajal, Sargento mayor del de León: Tenencias en el de Zaragoza á los Subtenientes D. Juan Josef de Natfas, D. Francisco de Paula Miranda, D. Vicente Sardana y D. Sebastian Norzagaray, este de granaderos: en el primer batallón de Voluntarios de Barcelona ai Subteniente D. Pedro Pablo T</t>
  </si>
  <si>
    <t>Josef de Nova</t>
  </si>
  <si>
    <t>ha nombrado S, M. Ayudante mayor del regimiento de Milicias disciplinadas de dragones de Matanzas á D. Josef de Nova, Teniente veterano del de Milicias de infantería de la Havana; y ha conferido Tenencias veteranas en este y en el batallón de Milicias de las Quatro Villas á Don</t>
  </si>
  <si>
    <t>Josef de Nóvoá, Ramón</t>
  </si>
  <si>
    <t>Ramón Josef de Nóvoá</t>
  </si>
  <si>
    <t>Cardenalicia de la catedral de Orense, vacante por fallecimiento dé Di‘Francisco Rigueyra y Puga, á D. Ramón Josef de Nóvoá, Racionero iáe *la misma iglesia: para una Ración de la catedral de Toledo ,vá cari te por promoción de D. Jüún Félix García á Canongía de ella', á D. Josef Fernandez y Blanco , C</t>
  </si>
  <si>
    <t>Josef de Orihuela</t>
  </si>
  <si>
    <t>xa en ella á D. Nicolás de Hore y Moscoso; y para la Media-Ración , que este obtenía en la misma, á D. Josef de Orihuela, Cura de Yangaayo, en aquella diócesis : para otra Mediar Ración de la iglesia de Popayan, vacante por haberla renunciado D. Matías Antonio Gómez, á D. Francisco Mosquera, Gura Re</t>
  </si>
  <si>
    <t>Josef de Orlondo</t>
  </si>
  <si>
    <t>publico por si alguna persona tuviese por conveniente IlíiCCT OOStUl'á» Cualquiera descendiente de D. Josef de Orlondo, que murió de Cónsul de España .en Genova, se presentara á D. León de Lamo, que vive calle de Barrionuevo, núm. 24, quarto 3.0, que tiene que comunicarle varias noticias. Se halla</t>
  </si>
  <si>
    <t>Josef de Ortega</t>
  </si>
  <si>
    <t>Sargento primero D. Vicente Calan: en el de Zaragoza á Ayudante al Teniente, graduado de. Capitán, D. Josef de Ortega; y á Subtenientes al Sargento primero de granaderos D. Cristóbal Hernández y al Cadete D. Josef María Mercado:, en el de Mallorca á Subtenientes de bandera al Sargento primero D.</t>
  </si>
  <si>
    <t>Josef de Osorio</t>
  </si>
  <si>
    <t>. Josef Fernandez Reguera, D. Pedro Bufarull y D. Sebastian Arroyo : á Tenientes á los Subtenientes D. Josef de Osorio, de granaderos, graduado de Teniente-, D. Josef Loísel, D. Antonio Caballero, D. Francisco Gatro, D. Narciso Guerra, Don Miguel Cabrera y D. Antonio Hoyos: á Subteniente de granad</t>
  </si>
  <si>
    <t>Josef de Peñalver, Joaquín</t>
  </si>
  <si>
    <t>Joaquín Josef de Peñalver</t>
  </si>
  <si>
    <t>ha servido nombrar para la Canongía, que en la catedral de Jaén ha resultado vacante por muerte de D. Joaquín Josef de Peñalver, á D. Francisco Esteban y Gambus, Capellán del primer regimiento del Real cuerpo de Artillería ; y para la que quedó vacante en la catedral de Cuenca, por fallecimiento de D. Lore</t>
  </si>
  <si>
    <t>JoSef de Reyes, Manuel</t>
  </si>
  <si>
    <t>Manuel JoSef de Reyes</t>
  </si>
  <si>
    <t>Audiencia de Manila, vacante por promoción de D. Manuel de Velasco á otra de la de Büenos-Ayres ,á D. Manuel JoSef de Reyes, Teniente Asesor del Gobierno é Intendencia del Cuzco. S. M« se ha servido nombrar Ministro Tesorero de las Reales caxás de S. Agustín de la Florida á D. Juan de Serra y Lloreda,</t>
  </si>
  <si>
    <t>Josef de Reyes, Manuel</t>
  </si>
  <si>
    <t>Manuel Josef de Reyes</t>
  </si>
  <si>
    <t>e dexa en la de Guatemala al de Buenos-Ayres D, Joaquín Bernardo Campuzano *, y para esta resulta á D. Manuel Josef de Reyes, electo Oidor de la de Manila. El dia 3 del corriente falleció en el pueblo del Nuevo Bastan, de edad de 74 años, el limo. Sr. D. Francisco Leandro de Viana, Conde de lepa, del Co</t>
  </si>
  <si>
    <t>mpleo de Teniente Gobernador, Asesor del Gobierno é Intendencia del Cuzco, vacante por promoción de D. Manuel Josef de Reyes á plaza de Oidor de Buenos-Ay res , á D. Pedro López de Segovia; y para el Corregimiento de Mariquita, distrito del Vireynato de Santa Fe, a D. Manuel Santiago Vallecillas. S. M.</t>
  </si>
  <si>
    <t>Josef de Ribas</t>
  </si>
  <si>
    <t>, de 4 fan. , junto ai charcon hondo, linde á oriente con tierra de Santiago Meco Gordo, á mediodia D. Josef de Ribas , á la sierra Josef López Adan, vecino de Argete, y á poniente con Francisco Fernandez , vecino de Coveña, á 800 rs. Otra en dicho.termino y parage, de 3 fan. y 6 cel,, linde á or</t>
  </si>
  <si>
    <t>l portillo de Alalpardo, de 1 fan. , linde á oriente y mediodia con D. Manuel Ortiz, á poniente con D. Josef de Ribas,y á la sierra herederos de Andrés Rodríguez, en 450 rs. O’trá de 2 fan. y 6 cel., en el camino de Fresno, linde á oriente con tierra que administra D. Diego Ortiz, á mediodia con</t>
  </si>
  <si>
    <t>de á oriente capellanía de D. Ignacio Pérez, á mediodía herederos de Pedro López Adan, y á poniente D. Josef de Ribas , en 120 rs. Otra en dicho término en la Vega, de 2 fan. y 6 cel. , linde á oriente herederos de Juana Hernández , á mediodía majuelo de O. Manuel Ortiz , y á poniente Isabel Laso</t>
  </si>
  <si>
    <t>Josef de Roxas</t>
  </si>
  <si>
    <t>ia 21 de Febrero de este año dio principio á sus lecciones de química el Catedrático de matemáticas D. Josef de Roxas. En el discursó que hizo con este motivomanifestó la utilidad que resultaria del estudio de esta ciencia en un pueblo como el Real de GuanaXuato ,;con aplicación á beneficiar sus'</t>
  </si>
  <si>
    <t>JoseF de Saavedra</t>
  </si>
  <si>
    <t>regimiento de infantería de Cuba al Coronel D. JoseF de Saavedra, Teniente Coronel del de la -Ha-varia ; y el de Sargento mayor del de milicias -disciplinadas ‘de "infantería de la misma aplaza de la Havaná á D. Francis■Co Barba, "Capitán del de infanter</t>
  </si>
  <si>
    <t>Josef de San Juan, Juan</t>
  </si>
  <si>
    <t>Juan Josef de San Juan</t>
  </si>
  <si>
    <t>gadier D. Pedro Truxillo y Tacón. Atendiendo el Rey á los servicios y méritos del Mariscal de Campo D. Juan Josef de San Juan, se ha servido conferirle la Inspección general de Milicias , que resultó vacante por muerte del Teniente General D. Ign&amp;eio Lancáster. S. M. se ha servido conferir Compañía en el</t>
  </si>
  <si>
    <t>Josef de San Martín y Matorras</t>
  </si>
  <si>
    <t>dez; y el empleo de Capitán segundo en el batallón de Voluntarios de Campomayor al segundo Ayudante D. Josef de San Martin y Matorras. El Rey se lia servido conferir la Tenencia Coronela del Regimiento de infantería de Córdoba ai Comandante de su tercer batallón D. Antonio Luxan; y Compañías en el mismo Cuerpo,</t>
  </si>
  <si>
    <t>Josef de Santa y Buci</t>
  </si>
  <si>
    <t>se al expresado batallón, y de Subtenientes de bandera al Sargento D. Juan Josef López, y al Cadete D. Josef de Santa y Buci: en el cuerpo veterano de infantería de Guayana empleo de Capítan al Ayudante mayor de este cuerpo D. Antonio Orozzo; esta resulta al Teniente D. Josef Dionisio Sánchez; empleos d</t>
  </si>
  <si>
    <t>Josef de Santiago</t>
  </si>
  <si>
    <t>Bnstamante, D. Joaquin del Pollo Sagasti, D. Pedro Negréte, D. Manuel Abreü , D. Ignacio del Valle, D. Josef de Santiago, D'. Joaquin Fernandez, D. Bernardo Meruendano, D. Josef del Hoyo,D. Francisco de Murías, D. Mariano Leones, D. Josef Nuñez, D. Francisco Enrile, D. Juan Gaideano, D. Josef Burgué</t>
  </si>
  <si>
    <t>Josef de Soler, Miguel</t>
  </si>
  <si>
    <t>Miguel Josef de Soler</t>
  </si>
  <si>
    <t>Antonia Oteyza, hija de ambos; y habiendo fallecido también estas, administra los referidos bienes D. Miguel Josef de Soler, Rector de la Parroquia de dicha villa, como albacea y encargado de R Doña Ana Antonia , última poseedora de ellos, de darles el destino que señala en su testamento, si algo sobra</t>
  </si>
  <si>
    <t>Josef de Soto</t>
  </si>
  <si>
    <t>ento primero D. Andrés Perez. En el de infantería de Cuba ha conferido S. M. la Tenencia Coronela á D. Josef de Soto, Comandante del tercer batallón, y esta resulta al Capitán, graduado de Teniente Coronel, D. Josef María de la Torre; habiendo también promovido á Capitán al Ayudante D. Manuel Ca</t>
  </si>
  <si>
    <t>Josef de Torre</t>
  </si>
  <si>
    <t>y ha concedido los ascensos á los demas Oficiales de dicha Secretaría por el orden de su antigüedad D. Josef de Torre, D. Miguel de Orvaneja, D. Antonio Garayo, D. Josef de Alday, D. Josef de Iturralde, D. Bernardo Diosdado, D. Deogracias Cardenal, D. Feliciano de Guizaburuaga y D. Jcsef de Aceve</t>
  </si>
  <si>
    <t>Josef de Urbina</t>
  </si>
  <si>
    <t>igencia de los comerciantes,, tragi— ñeros y demas que puedan tener interes en dicha gracia. El Sr. D. Josef de Urbina, Mariscal de Campo de los Reales exércitos, Corregidor de esta villa ¿Intendente de su provincia, por decreto de 21 del próximo</t>
  </si>
  <si>
    <t>Josef de Urbinaá Comandante</t>
  </si>
  <si>
    <t>expedir á la Cámara de Castilla el Real Decreto siguiente: Píabiendo destinado al Mariscal de Campo D. Josef de Urbinaá Comandante segundo de la costa de Granada, he venido en separar el Corregimiento de Madrid, que obtiene, de la Intendencia de su provincia, y nombro para él á D. Josef Marquina Galindo, unié</t>
  </si>
  <si>
    <t>Josef de Uria Nafarrondó</t>
  </si>
  <si>
    <t>útiles para hacer una buena confesión, Carta teológica-moral, en respuesta al tratado que escribió D. Josef de Uria Nafarrondó sobre el contrato trino : su autor D. Antonio Martínez. Se hallará en la librería de Barco, calle de las Carretas. Un quaderno con 20 minuetes escogidos de los mas célebres para g</t>
  </si>
  <si>
    <t>Josef de Urrutia</t>
  </si>
  <si>
    <t>á á t rs. con las anteriores en las librerías de Gómez Fuentenebro y de Orea. Elogio del Excmo. Sr. D. Josef de Urrutia y las. Casas, Capitán General de los Reales ejércitos de S. M., escrito por el presbítero D. Sebastian Hernández de .Morejon, Cuca de los . Reales hospitales General ¡y de la Pasión de</t>
  </si>
  <si>
    <t>Josef de Uviella</t>
  </si>
  <si>
    <t>de granaderos D. Rafael Montero y D. Agustín de Aguirre, á los de fusileros D. Agustin de Urrutia, D. Josef de Uviella y D. Miguel Valenzue(lá , y á los de bandera D. Josef Fulgencio Rósales y D. Josef María Roa; á Subtenientes de granaderos ái de fusileros D. Josef Viya y al de bandera D. Josef Manue</t>
  </si>
  <si>
    <t>Josef de Valluguera y Nuíía</t>
  </si>
  <si>
    <t>ron D. Vicente Aldao y Castro y D. Josef Aidao y Castro &amp;c. dedicadas á la Reyna nuestra Señora por D. Josef de Valluguera y Nuíía. Se hallarán en el despacho de la imprenta Real: su precio 5 rs. en rústica. Vida y persecuciones cié Federico , varón de Trenck : segunda edición , 2 tomos en 8.° marquilla , con</t>
  </si>
  <si>
    <t>Josef de Vargas, Manuel</t>
  </si>
  <si>
    <t>Manuel Josef de Vargas</t>
  </si>
  <si>
    <t>Pedro Antonio de Roxas; esta dignidad al Tesorero D. Josef Antonio de Errazurriz; y la Tesorería á D. Manuel Josef de Vargas, Canónigo magistral de la propia iglesia. También se ha dignado S; M. promover á una Canongía de gracia, vacante en la catedral de Antequera de Oaxaca por muerte de D. Josef Poler</t>
  </si>
  <si>
    <t>Josef de Velasco</t>
  </si>
  <si>
    <t>e Lara: la Sargentía mayor del de América ai Capitán del de Sevilla, graduado de Teniente Coronel , Don Josef de Velasco: Tenencias en el mismo Cuerpo á los Subtenientes Don Francisco Barba y D. Bruno Gómez; y Subtenencias de bandera en el de</t>
  </si>
  <si>
    <t>Josef de VHches, Gonzalo</t>
  </si>
  <si>
    <t>Gonzalo Josef de VHches</t>
  </si>
  <si>
    <t>los correspondientes documentos en el término de 30 días, contados desde el presente r ante el Sr. D. Gonzalo Josef de VHches, del Consejo de S. M. en el Supremo de Castilla, como Juez Asesor de la propia Real caballeriza, y escribanía de la misma del cargo de D. Eusebio del Olmo, en donde se halla radic</t>
  </si>
  <si>
    <t>Josef de Vinuesa</t>
  </si>
  <si>
    <t>144 én pasta en el despache? ás la imprenta Real. Discursos sobre los diezmos laicales, por el Lie. D. Josef de Vinuesa 1 obra original en su, clase , útil á todos los Jueces y Abogados, y á todos Jos legos perce.ptpres de djezmos: un tomo.eñ 4* Se hallará á. 12 jrs. en pap,el en lá librería de ifi</t>
  </si>
  <si>
    <t>Josef de Zuricalday</t>
  </si>
  <si>
    <t>el comercio de Sevilla, remitió en carta de 29 dé Setiembre próximo pasado á H. Josef de Zuricalday, vecino de Aracaldo, en el Señorío de Vizcaya, los vales Reales siguientes: 4 de á 600 pesos, de i.° de Mayo, núms. 378,'651 , 382,583, 392,426, 393,209: uno de 600, de i.° de Enero, núm.</t>
  </si>
  <si>
    <t>Josef Declonet</t>
  </si>
  <si>
    <t>ente, D. Francisco Martínez y D. Josef Alpanseque ; á Subsidíenles de granaderos á los de fusileros D. Josef Declonet, D. Luis Fe^ne j, graduado de Teniente , y D. Diego Salazar ; á Subtenientes de (j^in pañía los de bandera E&gt;. Juan Galguera, D. Bernardo Prieto, D. Cirilo Lessasier, D. Juan Trev</t>
  </si>
  <si>
    <t>Josef Dejes</t>
  </si>
  <si>
    <t>Pedro de las Puellas, de la ciudad de Barcelona, vacante por fallecimiento de D. Francisco Gali, á D. Josef Dejes. El Rey se ha servido conferir Compañía en el regimiento de infantería de Mallorca al Teniente, graduado de Capitán, D. Ramón Sánchez Salvador. El Rey se ha servido promover á Ten</t>
  </si>
  <si>
    <t>Josef del Campo</t>
  </si>
  <si>
    <t>y D. Francisco Cantala.piedra : y el de tercera se concedió á D. Antonio Cordero j D. Josef Hervas, D. Josef del Campo,. Don Manuel Ibañez, D-. Francisco Apliegas , D. Tomas Pereda, D. Santiago Mela, D. Manuel Pozo Cáceles y D. Gerónimo Mauricio Buey. El primer premio consistía en la obra de Adam</t>
  </si>
  <si>
    <t>Josef del Castillo</t>
  </si>
  <si>
    <t>Roso, D. Joaquínu Aróstegui, D. Joaquín Ibañez de Corvera, D* Josef Valdasano, Dj, Manuel de Cañas, D. Josef del Castillo, D. Manuel de Palacio^11). JAcanta Romarate, D. Josef Corones, D. Nicolás de la Vega, D/MamutE Lasqucti, D. Ramón Rato, Don Roque Diaz,D. Miguel Daza,D. Diegf ]fadara,D. RamónTrul</t>
  </si>
  <si>
    <t>Josef del Corral</t>
  </si>
  <si>
    <t>Pagador de la citada Maestranza D. Josef del Corral. DEn el Regimiento de caballería de España, octavo de línea, se ha servido el Rey promover á Capitán al Ayudante del mismo cuerpo Don Fernando López. El Rey se ha servido promover</t>
  </si>
  <si>
    <t>Josef del Hoyo</t>
  </si>
  <si>
    <t>Abreü , D. Ignacio del Valle, D. Josef de Santiago, D'. Joaquin Fernandez, D. Bernardo Meruendano, D. Josef del Hoyo,D. Francisco de Murías, D. Mariano Leones, D. Josef Nuñez, D. Francisco Enrile, D. Juan Gaideano, D. Josef Burgués de Mesiessi, D. Manuel Lizarza, D. Josef Aznar y ¿.Francisco Sim</t>
  </si>
  <si>
    <t>Josef del Río</t>
  </si>
  <si>
    <t>unco, del Consej’o de S. M. r Alcalde de su Real casa y corte , dada en los autos de abintestato de Don Josef del Río , Cónsul general de España én fa'Corté de Lísbóa , que falleció hallándose hospedado en la fonda de Malta de esta" corte, ir ha mandado que0 las personas que tengan derecho biencs</t>
  </si>
  <si>
    <t>Joséf del Rio</t>
  </si>
  <si>
    <t>onsiderableménte , y ya se han recibido resultados muy satisfactorios de las del Capitán de Fragata D. Joséf del Rio, á lá parte S. de Cuba ; y él Capitán de Navio D. Ciríaco de Cevallos en las costas de Yucatán y sonda de Campeche. «Si se comparan, dice Cevallos, los ele</t>
  </si>
  <si>
    <t>Josef del Rio</t>
  </si>
  <si>
    <t>Cosme Churruca , Brigadier de Marina.. 6.. 5* Plano del puerto y ciudad de la Havana,levantado por D. Josef del Rio, Capitán de Fragata de la Real Armada año de 1798: 6í. y. Plano del puerto-de Veracruz en la costa occidental del seno Mexicano, por D. Bernardo de Orta, Capitán de Navio de la Re</t>
  </si>
  <si>
    <t>Josef del Viso</t>
  </si>
  <si>
    <t>Santiago Mazarredo, D. Josef Mazarredo, D. Juan de’Vera, D. Pedro de Salazar, D. Felipe Esteller,, D. Josef del Viso, D. Jacinto Marcaida, D. Juan Bautista Lanz y Don; Francisco Ponce de León. Digesto teórico-práctico, ó Recopilación de los derechos Común, Real y Canónico, por los libros y títul</t>
  </si>
  <si>
    <t>Josef Delgado</t>
  </si>
  <si>
    <t>D. Antonio Viüavicencio, D. Josef Delgado, D. Joaquín Miaño, Don Diego Ponce de León, D. Nicolás Rubín, D. Joaquin Sánchez, D. Rafael de Lobo, D. Francisco Leceta, D. Manuel Ocarol, Dv x\ntonio Magadan, D. Norberto de Mel</t>
  </si>
  <si>
    <t>Josef Delgado, Manuel</t>
  </si>
  <si>
    <t>Manuel Josef Delgado</t>
  </si>
  <si>
    <t>eficio de la parroquial de la villa de, Alanis, en el arzobispado de Sevilla, vacante por muerte de D. Manuel Josef Delgado*, á D. Mariano Galan: para las dos l erdas Prestameras de la parroquial de la villa de Sta. Olalla , en el'mismo arzobispado, vacaiites por fallecimiento de D. Josef Madrigal, á D</t>
  </si>
  <si>
    <t>Josef Díaz</t>
  </si>
  <si>
    <t>de Córdoba , suizo de Rutiman^ y en el primer batallón de Voluntarios de Aragón á los Subtenientes D. Josef Díaz, D. Antonio Grillot y D. Manuel Pascual, los dos primeros de granaderos: Subtenencia de granaderos en él suizo de Schwaller al Subteniente de fusileros D. Josef Krutter; Subtenenc</t>
  </si>
  <si>
    <t>Josef Díaz Velez, Francisco</t>
  </si>
  <si>
    <t>Francisco Josef Díaz Velez</t>
  </si>
  <si>
    <t>diesen de su quinto i© pesos en plata sellada: el dicho. D. Matías puede ocurrir ai albacea, que es D. Francisco Josef Diaz Velez, vecino de dicha ciudad, quien le entregará dichos 10 pesos, en el dia que se le presente dicho interesado. El Valle de Gordejuela, del señorío de Vizcaya, ha admitido la dimisión</t>
  </si>
  <si>
    <t>Josef Diego García de Ñera</t>
  </si>
  <si>
    <t>cio simple servidero de la villa de Alcaudete, en el Obispado de faen, vacante por fallecimiento de D. Josef Diego García de Ñera, á D. Estéban Querol, su Capellán de Honor y Predicador: para el de la villa de Mengibar , en la propia Diócesi, vacante por muerte de D. Juan de Salazar y Porlier, á D. Wenceslao</t>
  </si>
  <si>
    <t>Josef Dionisio Sánchez</t>
  </si>
  <si>
    <t>yana empleo de Capítan al Ayudante mayor de este cuerpo D. Antonio Orozzo; esta resulta al Teniente D. Josef Dionisio Sánchez; empleos de Tenientes á los Subtenientes D. Francisco Orozco y D. Juan Pons; y de Subtenientes al Cadete D. Josef María Sánchez y al Sargento D. Isidro de la Osa. Asimismo ha nomb</t>
  </si>
  <si>
    <t>Josef Dios</t>
  </si>
  <si>
    <t>ien ha confiado la éxeeucion á sus dos individuos D. Manuel Vicente Martínez, Canónigo Magistral, y D. Josef Dios, Arcediano de Chinchilla. El primer en sayo curativo se efectuó con 10 enfermos de ambos sexos , todos sumamente agravados de infección universal, con tan feliz éxito , que llenó</t>
  </si>
  <si>
    <t>Josef Doblas</t>
  </si>
  <si>
    <t>granaderos D. Josef Tirado: en el de Ordenes Militares Subtenencias de bandera al Sargento primero D. Josef Doblas y al Cadete D. Carlos Diez Bulnes ; y en los de Voluntarios de Estado, Voluntarios de lz Corona y Borbon, Tenencias á los Subtenientes D. Alonso de Torres, D. Cayetano Mena y D. Mar</t>
  </si>
  <si>
    <t>Josef Domingo del Castillo y Betancourt</t>
  </si>
  <si>
    <t>ntonio Ruiz á la Dignidad de Prior de ella, nombró S. M«, por decreto de io de Junio de este año, á Don Josef Domingo del Castillo y Betancourt; y habiendo fallecido este antes de posesionarse de la citada Ración, ha nombrado á D. Pedro del Castillo y Betancourt. En la Compañía Italiana dei Real Cuerpo de Guardias de Corp</t>
  </si>
  <si>
    <t>Josef DomingoUrquisavaso</t>
  </si>
  <si>
    <t>y al de bandera D. Josef Manuel Villanueva, y á Subtenientes á D. Dimas de Cañas, D. Tomas Arroyo, D. Josef DomingoUrquisavaso, D. Luis de Vera, D. Josef María Fernandez Boullosa, D. Josef Manuel Díaz de la Madrid, D. Francisco Ruiz Linares , D. Francisco Xavier y Andrade , Don Josef María Noriega, D. Joa</t>
  </si>
  <si>
    <t>Josef Domínguez</t>
  </si>
  <si>
    <t>segundos á los Tenientes D. Pedro Velarde y D. Josef Arguinzonis, y á Tenientes á los Subtenientes D. Josef Domínguez y D. Juan Estelíer. También se ha servido conferir el Rey el empleo de Teniente de Artilleros á caballo al Teniente de infantería del primer regimiento del Real cuerpo de Artillería D</t>
  </si>
  <si>
    <t>Josef Dom’ngo del Castillo y Betancour</t>
  </si>
  <si>
    <t>otra de la de Canaria, vacante por pro^mocion de D. Antonio Ruiz á la Dignidad de Prior de ella, á D. Josef Dom’ngo del Castillo y Betancour: para una Media-Ración de la catedral de Santo Domingo de la Calzada, vacante por promoción de D. Pedro de Espinosa á una Canongía de la catedral dé Huesca, á D. Tomas González It</t>
  </si>
  <si>
    <t>Josef Echavarría</t>
  </si>
  <si>
    <t>pleo veterano de las quatro compañías sueltas de Milicias disciplinadas de Lima al Alférez veterano D. Josef Echavarría , Comandante de Asamblea del partido de Camaná: para una de las Tenencias veteranas de dotación en el batallón de Milicias disciplinadas de Españoles de Lima al Alférez veterano D</t>
  </si>
  <si>
    <t>Josef Eraso y Borunda</t>
  </si>
  <si>
    <t>brar para una Canongía de la catedral de la Paz, vacante por fallecimiento de D. Antonio de Toro, á D. Josef Eraso y Borunda: para la Ración que dexa en ella á D. Nicolás de Hore y Moscoso; y para la Media-Ración , que este obtenía en la misma, á D. Josef de Orihuela, Cura de Yangaayo, en aquella dióces</t>
  </si>
  <si>
    <t>Josef Escalante</t>
  </si>
  <si>
    <t>oronel al Capitán D Lorend Zo Monroy; á Capitán al Teniente D. Andrés Sierra í ajeníente al Alférez D. Josef Escalante; ¿ Alféreces á los-Portaguiones^D. Manueljopez y D. Miguel Rosales, y ¿ Portaguiones a D. Pedro Imas y D. Manuel Gómez Bulnes. Asimismo en el regimiento provincial de dragones de</t>
  </si>
  <si>
    <t>Josef Escudero</t>
  </si>
  <si>
    <t>....... 141-25 Josef Escudero..................... Mora.............................. 14 Manuel Yuste............ Gata................................. 141-25 Francisco Martin..</t>
  </si>
  <si>
    <t>Josef Esnariega</t>
  </si>
  <si>
    <t>ca , Diócesi de Zaragoza, vacante por promoción de D. Mateo Bonal á Canongía de la misma Iglesia, á D. Josef Esnariega: para otra de dicha Colegial, vacante por igual promoción de í&gt;-:Gcróriimo Pascual á otra Canongía de la misma , áDoa Juan Bautista Pozo: para otra de la referida Colegiata, vacan</t>
  </si>
  <si>
    <t>Josef Espinosa</t>
  </si>
  <si>
    <t>en el expresado de América aí Sargento primero de granaderos D. Antonio Rodríguez, y á los Cadetes D. Josef Espinosa y D. Juan Moreno. S. M. se ha dignado conceder en el Regimiento de infantería de Córdoba Tenencias á ios Subtenientes de granaderos P. Josef Conesa y Don Antonio Villafranca: Subtenen</t>
  </si>
  <si>
    <t>Josef Esteban</t>
  </si>
  <si>
    <t>n de la parroquia de Montalban, diócesis de Zaragoza, vacante por fallecimiento de D. Luis Bravo, á D. Josef Esteban ; para otra de la parroquia de Fuentes de Ebro, diócesis de Zaragoza, vacante por muerte de D. Antonio Larrayad, á Don Joaquín Basa; para un Beneficio, llamado Refitolero, de la c</t>
  </si>
  <si>
    <t>Josef Estébari</t>
  </si>
  <si>
    <t>de la parroquia de Montalban, diócesis de ¿Zaragoza, yacante por fallecimiento de D. Luís Bravo, á D. Josef Estébari; y para un Beneficio de la catedral de Gerona, vacante por muerte de D. Pedro Cora, á D. Felipe Ordis. El Rey se ha servido conceder en el regimiento de infantería de la Rey.na Co</t>
  </si>
  <si>
    <t>Josef Estivil</t>
  </si>
  <si>
    <t>a plaza de Ceuta se ha servido S. M. promover á Capitán primero al Capitán segundo y Ayudante mayor D. Josef Estivil; á este ultimo empleo al Teniente D. Francisco Ca t avaca , y á Teniente á D. Clemente Gerusa, Subteniente de la Compañía fixa de Mallorca. Igualmente ha conferido S. M. Tenencia</t>
  </si>
  <si>
    <t>Josef Eustaquio Moreno</t>
  </si>
  <si>
    <t>oy, Obispo que fué de Cuenca, y mandada cdntinuar á expensas de su espolio por orden del Éxcmo. Sr. D. Josef Eustaquio Moreno, Colector general de espolios y vacantes &amp;c. Este Catecismo, ordenado por el santo Concilio general de Trento, compuesto conforme á su doctrina por los hombres mas sabios escogido</t>
  </si>
  <si>
    <t>después de su muerte, baxo el mismo plan y método con que se había principiado , por el Excmo. Sr. D. Josef Eustaquio Moreno, Colector general de.espolios y vacantes. No satisfecha la caridad de estos dos zelosos eclesiásticos con proporcionar por un precio baxo á los Párrocos y personas aptas el Cateci</t>
  </si>
  <si>
    <t>sta de Toledo ha resultado tacante por renuncia de D. Josef Eustaquio Moreno, á D. Ramón Sancho Mareca, Capellán del regimiento de infantería de Cantabria, en consideración á sus servicios, y conforme al reglamento de 30 de Enero último: para otra de la Co</t>
  </si>
  <si>
    <t>Josef Falla y la Fuente</t>
  </si>
  <si>
    <t>os de los de Ciudad-Rodrigo, Laredo, Avila y Chinchilla á los de fusileros D. Gaspar Escapa y Leal, D. Josef Falla y la Fuente, D. Mariano Zorraquin y D. Esteban Marbeuf; y á Subtenientes de bandera de los de Avila y Chinchilla á D. Miguel de Becerril y D. Miguel Gallego de Gallego y Valcarcel. En atenció</t>
  </si>
  <si>
    <t>Josef Faxardo</t>
  </si>
  <si>
    <t>rvido conferir Compañía en el regimiento de infantería de Córdoba al Ayudante, graduado de Capitán, D. Josef Faxardo. También se ha dignado conceder Ayudantía en el regimiento de infantería de Valencia al Teniente de granaderos, graduado de Capitán , Don Ramón Marin ; y tenencias eri los: Inmemo</t>
  </si>
  <si>
    <t>Josef Febrero</t>
  </si>
  <si>
    <t>mentos y contratos. Este es un compendio con muchas adiciones de la bien conocida obra que escribió Don Josef Febrero, de cuya lectura carecen varios por su crecido volumen y coste; y con este nuevo Prontuario en forma de diálogo se facilita la instrucción necesaria no solamente á Escribanos prin</t>
  </si>
  <si>
    <t>tos y contratos. Este es un compendio, con muchas adiciones, de la .bien conocida obra que escribió D. Josef Febrero, de cuya lectura carecen, varios por su crecido volúmen y coste; y con este nuevo Prontuario, en Jqrma .de, diálogo, se facilita la instrucción necesaria, no solamente á Escribano</t>
  </si>
  <si>
    <t>Josef Félix de la Rosa</t>
  </si>
  <si>
    <t>ancisco Enciso á un Beneficio simple servidero de la villa de Arjoncilla, en el obispado de Jaén, á D. Josef Félix de la Rosa, Capellán segundo, y Teniente de Cura del Soto de Roma: para otra de la catedral de Orense , por promoción de D. Ramón Josef Novoa á Canpngía de la misma , á D. Francisco Salgado</t>
  </si>
  <si>
    <t>Josef Félix Marves</t>
  </si>
  <si>
    <t>sileros D.;FranciscoXralin¿ez , y á Subtenientes de bandera á los Cadetes £L Jdsef Antonio Marves y D. Josef Félix Marves. - a'1 ■ i1 Ó -: = ■■*;-a Enterado el Rey de los particulares é interesantes servicios que ha contraído en 13 años que sirvió la Intendencia de Chiapá, en- el reyno</t>
  </si>
  <si>
    <t>Josef Félix Pedraja</t>
  </si>
  <si>
    <t>á Subteniente de granaderos ál Cadete D. Manuel Estrada; á Subtenientes dé fusileros á los Cadetes D. Josef Félix Pedraja, D. Antonio Ladrón dé Guevara, D. Josef de la Peña y D. Josef Estrada, y á Subtenientes de bandera á D. Francisco Gutiérrez de Arredondo y D. Francisco Melgosa , vecinos de aquell</t>
  </si>
  <si>
    <t>Josef Fernández</t>
  </si>
  <si>
    <t>imiento inmemorial del Rey á D. Estanislao Gau; tiér y D. Patricio de S. Pedro: en el de la Reyna á D. Josef Fernandez: en el del Príncipe i D. Jnan Bastida y D. Juan Sedaño: en el de Saboya á D, Bruno Barrera : en el de Africa al Cadete del de León D. Josef Bedoya: en el de Guadalaxara á D. Josef</t>
  </si>
  <si>
    <t>euta D. Vicente Martorell: Compañías en los de Murcia y Ordenes Militares al Teniente de granaderos D. Josef Fernandez, y al Ayudante D. Pedro Pascual Carrasco, ambos graduados de Capitán: Tenencias en los de Cantabria y Asturias á los Subtenientes D. Mariano Ibañez y D. Cristóbal Bolaño; y Subten</t>
  </si>
  <si>
    <t>la, Compañía ai caballero Page de S. M. D. Manuel Doy le: en el de Valencia Tenencia ai Subteniente D. Josef Fernandez:</t>
  </si>
  <si>
    <t>Josef Fernández de Castro</t>
  </si>
  <si>
    <t>orpas, Don Josef Sarralde, D. Pedro Rodríguez y D. Francisco Serrano: á Alférez en él de Farnesio á D. Josef Fernandez de Castro, Portaestandarte del</t>
  </si>
  <si>
    <t>Josef Fernández de Escovar</t>
  </si>
  <si>
    <t>tenencia de bandera en los de Murcia, Extremadura, Voluntarios de la Corona y Ñapóles á los Cadetes Don Josef Fernandez de Escovar, D. Toribio Fernandez Cosío , D. Mar-*</t>
  </si>
  <si>
    <t>Josef Fernández Hermoso</t>
  </si>
  <si>
    <t>ontera, en Granada D. Pedro Montoya, Abogado de los Reales Consejos, y en la dicha villa de la Peza D. Josef Fernandez Hermoso, Escribano de su Ayuntamiento. Deseosa la Real dirección de abastos de Madrid de continuar fomentando la industria y el comercio, y facilitar á los dueños ó tenedores.de ganados l</t>
  </si>
  <si>
    <t>Josef Fernández Quevedo</t>
  </si>
  <si>
    <t>illen de Toledo: para el de la de Marbeila á Don Josef Antonio de Mestas : para el de la de Lbeda á D. Josef Fernandez Quevedo: para el de la de Loxa á D. Ignacio Mariano de Mendoza: para el de la de Jaén á D. Antonio María de Lomas: para la vara de Alcalde mayor de las nuevas poblaciones de Sierramorena</t>
  </si>
  <si>
    <t>Josef Fernández Reguera</t>
  </si>
  <si>
    <t>f AHllasante, idem, D. Mariano Caro y D. Pedro Osorio: á Tenientes de granaderos á los de fusileros D. Josef Fernandez Reguera, D. Pedro Bufarull y D. Sebastian Arroyo : á Tenientes á los Subtenientes D. Josef de Osorio, de granaderos, graduado de Teniente-, D. Josef Loísel, D. Antonio Caballero, D. Franc</t>
  </si>
  <si>
    <t>Josef Fernández y Blanco</t>
  </si>
  <si>
    <t>n de la catedral de Toledo ,vá cari te por promoción de D. Jüún Félix García á Canongía de ella', á D. Josef Fernandez y Blanco , Capellán mayor de las monjas llamadas Vallecas; y para otra de La catedral de Mondoñedo, vacante por fallecimiento de D. Francisco Garc-ía Llano, á D. Luis Julián D íaz Pardo, C</t>
  </si>
  <si>
    <t>Josef Fernando Abascal</t>
  </si>
  <si>
    <t>del Rio de la Plata con la Presidencia de la Real Audiencia de Buenos-Ay res, al Mariscal de Campo D. Josef Fernando Abascal, Comandante general de la Nueva-Gálicia ¿ y Presidente dé la Real Audiencia de Guadalaxara: esta resulta al Brigadier D. Roque Abarca, Subinspector general de las tropas de Guatem</t>
  </si>
  <si>
    <t>to del Perú, y lo ha conferido con la Presidencia de la Real Audiencia de Lima al Mariscal de Campo D. Josef Fernando Abascal jy'él Vireynato de las provincias del Rio de la Plata, con la Presidencia de la Real Audiencia de Buenos-Ayres, que se había conferido á Abascal, ai Brigadier Marques de Sobremont</t>
  </si>
  <si>
    <t>Josef Ferrer y Aymerich</t>
  </si>
  <si>
    <t>to de D. Bartolomé Roca, y por no haberle admitido D. Josef Bernich, que estaba nombrado para él, á D. Josef Ferrer y Aymerich: para otro de la parroquia de Luna, en la propia diócesis de Zaragoza, vacante por muerte de D. Rudesíndo Domínguez, á D. Baltasar Jai. El Rey se ha servido conferir Comoañía ^ en</t>
  </si>
  <si>
    <t>Josef Fesch, Cardenal</t>
  </si>
  <si>
    <t>Cardenal Josef Fesch</t>
  </si>
  <si>
    <t>ático, los empleados del gobierno, y mucha nobleza de uno y de otro, sexo. Roma 10 de Diciembre. El Cardenal Josef Fesch , Ministro plenipotenciario de la República francesa cerca de la santa Sede, y la Princesa Borghese, han dado parte á la nobleza de esta capital del matrimonio del Príncipe D. Cam</t>
  </si>
  <si>
    <t>Josef Forniob</t>
  </si>
  <si>
    <t>ado Epistolero, vacante por promoción de Don Buenaventura Casademont á otro de la propia iglesia, á D. Josef Forniob para otro de la parroquial de Tordera, diócesi de Gerona, vacante por muerte de D. Juan Bautista Comas, á D. Hilario Muntalt; y para otro de la parroquia de Figueras, en la propia</t>
  </si>
  <si>
    <t>Josef Francisco Valdes</t>
  </si>
  <si>
    <t>miento de la villa del Socorro en el Vireynato de Sta. Fe, vacante por renuncia de D. Josef Jover,á D. Josef Francisco Valdes, Abogado de los Reales Consejos.. Por el Ministerio de Hacienda se ha comunicado con fecha de 2 5 dé Enero último la. Real orden siguiente: „EI Sr. D. Josef Antonio Caballero con</t>
  </si>
  <si>
    <t>Josef Freixas y de Fals</t>
  </si>
  <si>
    <t>la otra media, que este obtenía, á D. Antonio Solana. En consideración á los méritos y servicios de D. Josef Freixas y de Fals , vecino de la villa de Villanueva y Geltru, Corregimiento de Tarragona, en el Principado de Cataluña, se ha servido S. M. concederle privilegio de Caballero del mismo Principado</t>
  </si>
  <si>
    <t>Josef Fulgencio Rósales</t>
  </si>
  <si>
    <t>e fusileros D. Agustin de Urrutia, D. Josef de Uviella y D. Miguel Valenzue(lá , y á los de bandera D. Josef Fulgencio Rósales y D. Josef María Roa; á Subtenientes de granaderos ái de fusileros D. Josef Viya y al de bandera D. Josef Manuel Villanueva, y á Subtenientes á D. Dimas de Cañas, D. Tomas Arroyo, D.</t>
  </si>
  <si>
    <t>Jósef Gabriel Ba</t>
  </si>
  <si>
    <t>renunciado D&lt; Miguel Gomez de la Peña , á D. Joaquín de Lagraña; y para.la Media, que este dexa- á. D. Jósef Gabriel Ba¿tallas, Présbftero en el propió obispado. En el regimiento de infantería de México se ha servido S. M. promover á Teniente al Subteniente D. César Castilla; y á Subteniente ai Sar</t>
  </si>
  <si>
    <t>Josef García</t>
  </si>
  <si>
    <t>s Sarasa y D. Juan Sangran, y á Ayudante, con grado de Subteniente, al Sargento primero distinguido D. Josef García. Carta escrita desde Valladolid d 14 de Abril. Amigo mió: Consiguiente á mi viage me hallo ya en esta ciudad, y en medio de tantas calamidades como se pasan y oyen con dolor en to</t>
  </si>
  <si>
    <t>ha servido nombrar Teniente del regimiento de Milicias disciplinadas de caballería de Puerto-Rico á D. Josef García, Alférez agregado al mismo cuerpo : también ha nombrado S. M. Cirujano del regimiento de infantería fixo de aquella plaza á D. Juan Pallares. Asimismo se ha servido S. M. promover</t>
  </si>
  <si>
    <t>Josef García Brioso</t>
  </si>
  <si>
    <t>ante por fallecimiento de D. Antonio Queypo ¿Q Llano, y con la obligación de residencia personal, á D. Josef García Brioso, Cura de la misma parroquia: para el Medio-Beneficio pontifical de Fazalcázar , que en la propia diócesis de Sevilla resultó vacante por ascenso de D. Elias Xavier de Lanza á una</t>
  </si>
  <si>
    <t>Josef García de Ambite</t>
  </si>
  <si>
    <t>acuda ante dicho Señor, por la' escribanía de provincia de D, Juan Antonio Diaz Noriega. Se avisa á D. Josef García de Ambite ó sus herederos, acudan al Subinspector de Artillería del departamento de Andalucía, para cobrar un crédito que tiene á su favor y contra un Conductor de trenes en aquel departame</t>
  </si>
  <si>
    <t>Josef García de Ja Madrid, Miguel</t>
  </si>
  <si>
    <t>Miguel Josef García de Ja Madrid</t>
  </si>
  <si>
    <t>a nueva, en 973,870 rs.-, acuda ante el Sr. Alcalde D. Mariano Alonso, y escribanía de provincia de D. Miguel Josef García de Ja Madrid, que se le admitirán las que hiciesen en vales Reales, ó en metálico, en el término de 20 dias contados desde el 17 del presente.</t>
  </si>
  <si>
    <t>Josef García de la Madrid, Miguel</t>
  </si>
  <si>
    <t>Miguel Josef García de la Madrid</t>
  </si>
  <si>
    <t>contados desde 22 del presente, ante el Sr. D. Joaquín Herran, y por la escribanía de provincia de D. Miguel Josef García de la Madrid. Se halla vacante la plaza de Médico de la villa de Aiíover deTajo , partido de Toledo, distante 4 leguas de esta ciudad, 8 de Madrid y 2 del Real sitio de Aranjuez: está dotada c</t>
  </si>
  <si>
    <t>ero el Sr. D. Joaquín Herran, despacha su audiencia y negocios, y por la escribanía de provincia de D. Miguel Josef García de la Madrid, que se lt admitirán las que hiciesen hasta el dia 24 del corriente , en el qual se ha de rematar á las 11 en punto de su mañana, en la misma escribanía. Se cita y emplaza al pose</t>
  </si>
  <si>
    <t>a en él, en 149,521 rs., acuda ante el Sr. Alcalde D. Mariano Alonso , y escribanía de provincia de D. Miguel Josef García de la Madrid, en el término de 30 dias, contados desde el 11 del presente. Los maestros arquitectos que quisieren executar varias obras necesarias en una casa sita en la calle Imperial, núm. 1</t>
  </si>
  <si>
    <t>Muñiz su muger, difuntos, aouda ante el Sr. Alcalde D. Mariano Alonso, y escribanía de provincia de D. Miguel Josef García de la Madrid, en el término de 20 dias contados desde el 1/ del corriente. En virtud de providencia del Sr. D. Manuel María de Junco, del Consejo de S. M., su Alcalde de casa y corte, dada en</t>
  </si>
  <si>
    <t>. D. Mariano Alonso, del Consejo de S. M., su Alcalde de Casa y Corte, y escribanía de provincia de D. Miguel Josef García de la Madrid, en el término de 2a dias contados desde el 22 del corriente. En 20 de Setiembre próximo, por el juzgado del Sr. D. Diego Gil Fernandez-,, del Consejo de S. M., Alcalde en su Real</t>
  </si>
  <si>
    <t>D. Mariano Alonso, del Consejo de S. M., su. Alcalde de Casa y Corte, y escribanía de provincia de D. Miguel Josef García de la Madrid, en el término de 30 dias contados desde el 6 del corriente. Instrucción sobre el método de curar á los ahogados, á los sufocados por el tufo del carbón, ó en bodegas quando está</t>
  </si>
  <si>
    <t>Josef García de Paredes</t>
  </si>
  <si>
    <t>nte Coronel D. Gregorio Rodríguez , graduado de Coronel ; y á Tenientes Coroneles al Sargento mayor D. Josef García de Paredes , graduado de Teniente Coronel , y al Sargento mayor D. Josef de Cáceres; habiendo también nombrado el Rey Guarda-Almacén extraordinario de Artillería del castillo de Monjuich, en</t>
  </si>
  <si>
    <t>Josef García Joves</t>
  </si>
  <si>
    <t>ua, D. Ramón Torre, D. Manuel Berna!, D. Antonio Mañeáis D.Joaquín Elgueta, D. Francisco Sarachaga, D. Josef García Joves, ÍD- Miguel Valdasano, D. Josef Leyva, D. Rafael Rodríguez Guerra,,0O. llamón Ortiz Canelas, D. Joaquín de Mora, D. Alonso Solís, X&gt;. Jjunan Robredo, D. Josef Luyando, D. Joaquín</t>
  </si>
  <si>
    <t>Josef García, Miguel</t>
  </si>
  <si>
    <t>Miguel Josef García</t>
  </si>
  <si>
    <t>. D. Mariano Alonso, del Consejo de S. M., su Alcalde de Casa y Corte, y escribanía de provincia de D. Miguel Josef García, de. la Madrid , en el término de 20 dias contados desde el 2 2 del presente. En la villa de Mora', provincia de Toledo, se halla vacante Ja plaza de Médico tiene de dotación 1 2©</t>
  </si>
  <si>
    <t>. D. Mariano Alonso, del Consejo de S. M., su Alcalde de Casa y Corte, y escribanía de provincia de D. Miguel Josef García ele 1^ Madrid; previniendo que para su remate se ha señalado el día 7 de Enero próxííno. Quien quisiere comprar una casa fonda, llamada de JuanHJa, propia del Real Monasterio de S.</t>
  </si>
  <si>
    <t>Josef Garriga</t>
  </si>
  <si>
    <t>premios de los discípulos de la Real escuela de Taquigrafía; discurso leído, con esta ocasión, por D. Josef Garriga, Protector de dicha escuela; otro sobre la poesía elegiaca de los-modernos, comparada con la de los Romanos; varias noticias sobre la población de Petersburgo; inundaciones de los</t>
  </si>
  <si>
    <t>Josef Gayangos</t>
  </si>
  <si>
    <t>llería se ha servido S. M. promover á Capitán primero de á caballo al Capitán primero de infantería D. Josef Gayangos: á Capitanes primeros de infantería á los segundos D. Pablo San-, diez y D. Francisco Quesada ;y á Capitanes segundos de infantería á los Tenientes D. Juan Mansilla, D. Benito Ava</t>
  </si>
  <si>
    <t>Josef Gil</t>
  </si>
  <si>
    <t>m. —, Astronomía y Cronología. i.° D. Juan de Salazar: Vayliy, Astronomía, tomos en 4.0 mayor. 2.0: D. Josef Gil: Lalande, Compendio de Astronomía___ Geografía. i.°: D. Serapio de la Hormaza: Mendoza, Tablas, Astronomía. 2.ü: D. Antonio Palacio: Viage de las goletas, con su atlas. __ Histori</t>
  </si>
  <si>
    <t>Josef Godinez Paz</t>
  </si>
  <si>
    <t>se ha servido conferir el empleo de Sobrestante Pagador de la Maestranza de Artillería de Segovia á D. Josef Godinez Paz. En el Real cuerpo de Ingenieros del exército ha nombra do S. M. Tenientes Coroneles á D. Juan Camargo, graduado de Teniente Coronel, y D. Tomas Rifa, Sargentos mayores de Brigada</t>
  </si>
  <si>
    <t>Josef Godoy</t>
  </si>
  <si>
    <t>eandro de Ocio, que lo era igualmente, D. Josef CieafueggP'S 1 D. Josef María Blak, D. Simón Mesía, D. Josef Godoy, D. Manuel Scoroez, D.Manuel Arévalo , D. Josef Caballero, D. Gaspar Orue , D.njltyfknuel Josel de Landa, D. Pedro Olea, D. Manuel Enna , D. Alonso Illlaipa, D. Josef León, D. Ild</t>
  </si>
  <si>
    <t>Josef Golfín</t>
  </si>
  <si>
    <t>aña al Ayudante, con grado de Capitán, D. Antonio Roxas : empleo de Teniente en el de María Luisa á D. Josef Golfín; y el de Alférez en el mismo cuerpo al Sargento primero D. Pedro San) urjo. En la madrugada del 20 de este mes falleció en Castellón de la Plana, reyno de Valencia, Mr. Mechain. H</t>
  </si>
  <si>
    <t>Josef Gómez</t>
  </si>
  <si>
    <t>141Í.25 Josef Gómez....... ................ CTrrvillete................. . 141. •25 Vicente Santiago....!......-*..... Corral dc'Alinaguer....... 141..25 Antonio Amorós......</t>
  </si>
  <si>
    <t>de infantería de Buenos-Ayres se ha servido el Rey promover á Capitán de granaderos al de fusileros D. Josef Gómez.’: á Capitán de fusileros al Teniente de granaderos D. Antonio Grijoa: á Teniente de granaderos al de fusileros L). Francisco de Vera: á Teniente al Subteniente de granaderos D. V</t>
  </si>
  <si>
    <t>Josef González de Merino</t>
  </si>
  <si>
    <t>io y Carrasco, D. Joaquin Vivanco y Yun , D. Pedro Ortiz de Zarate y Ara , D. Juan Bravo de Rivero, D. Josef González de Merino, D. Bernardo Gil de Ledesma y Seix , D. Josef Santiago Arias de Saavedra, Don Ignacio de Cárdenas y Cárdenas, D. Juan Loriga y Reguera, D. [oaquin Aguado y Cañas , D. Ramón Palaci</t>
  </si>
  <si>
    <t>Josef González y Santos</t>
  </si>
  <si>
    <t>dencia del Corregidor de la villa de Sisante, provincia de Cuenca, y por la escribanía de número de D. Josef González y Santos, se han mandado subastar, con arreglo á los Reales decretos , las (incas que corresponden á Ja vinculación qutí en dicha villa fundaron Doña Mariana y D. Gerónimo Pacheco y Losa,</t>
  </si>
  <si>
    <t>Josef Gortines</t>
  </si>
  <si>
    <t>B,i Blas Manuel Teruel, Don Jóséf Armendariz, JE).'iAntonio'Retúon del Valle» ,D. Josef María Dana» D. Josef Gortines , DvVicente Sancheg, !&gt;•' Joaquín de la Cruz, Don Rafael del Barrio , D. Joaquín Viado, D. Ignacio OrdoVas, D. Luis Cantío Montenegro y D. Miguel Santiilana. Por el Exento. £r. Co</t>
  </si>
  <si>
    <t>Josef Gorvea y Badillo</t>
  </si>
  <si>
    <t>ra de Indias , por lo perteneciente al Perú, vacante por muerte de D. Ambrosio de Cerdan Pontero, á D. Josef Gorvea y Badillo, Regente de la Real Audiencia de Buenos-Ayres. Debiendo salir para el 20 de Marzo próximo, si el tiempo lo permitiere , la fragata de la Real compañía de Filipinas, nombrada Sto.</t>
  </si>
  <si>
    <t>Josef Gorvea y Vadillo</t>
  </si>
  <si>
    <t>brado el Rey para la plaza de Regente de la Real Audiencia de Buenos-Ayres , vacante por ascenso de D. Josef Gorvea y Vadillo á la de Fiscal del Consejo y Cámara de Indias por lo perteneciente al Perú á D. Lúeas Muñoz y Cubero ; y para la de Sta. Fe, que este dexa, á D. Antonio López Quintana, que lo era</t>
  </si>
  <si>
    <t>Josef Graces y Graces</t>
  </si>
  <si>
    <t>, D. Ramón Palacio y San Cristóbal, D. Mateo Hernández de Urcullo, D. Antonio del Riosoto y Espino, D. Josef Graces y Graces, D. Manuel Montesoro y Moreno , D. Ramón Ibañez Lo</t>
  </si>
  <si>
    <t>Josef Gregorio Alegría</t>
  </si>
  <si>
    <t>esta corte á 12 de Setiembre de 1^95 , y especialmente á los herederos del Sr. Marques de Glices; á D. Josef Gregorio Alegría; á D. Mariano ¿Icnriquez de Guzman, Cura Beneficiado del pueblo de Fillaró, en el Corregimiento de Ambato, en la comprehension del obispado de Quito; á D. Manuel Novales Ancostren</t>
  </si>
  <si>
    <t>Josef Gregorio Castilla</t>
  </si>
  <si>
    <t>Luís Trevejos, D. Domingo Lamadriz y D. Bernardo Espert; y á Subtenientes de bandera á los Cadetes D. Josef Gregorio Castilla y D. Josef Cayetano Sastre, y al Sargento primero D. Andrés Perez. En el de infantería de Cuba ha conferido S. M. la Tenencia Coronela á D. Josef de Soto, Comandante del tercer batall</t>
  </si>
  <si>
    <t>Josef Guadalupe Palacios</t>
  </si>
  <si>
    <t>cón para la Vara de Alcalde mayor de la ciudad de Orihuela, de segunda clase, vacante por salida de D. Josef Guadalupe Palacios á la de Leen. En América. Habiendo vacado el Arzobispado de Charcas por fallecimiento de D. Fr. Josef Antonio de S. Alberto, se ha servido el Rey nombrar para él á D. Benito de Mo</t>
  </si>
  <si>
    <t>Josef Guadalupe y Palacios</t>
  </si>
  <si>
    <t>continuando los dos jueces hasta dicho dia¿ y para la Vara- de Alcalde mayor de la ciudad de León á D. Josef Guadalupe y Palacios. En los regimientos Provinciales ha conferido el Rey la Tenencia de granaderos del de Plasencia al Teniente de fusileros D. Josef Vfcllaamih Tenencias de fusileros en los de Sigii</t>
  </si>
  <si>
    <t>Josef Guardabrazo Treviño</t>
  </si>
  <si>
    <t>romoción de D. Juan Bermudez al Priorato de las Ermitas, Dignidad de la metropolitana de Sevilla, á D. Josef Guardabrazo Treviño; y para el Medio-Préstamo de Rielves, en el arzobispado de Toledo , por muerte de D. Juan Antonio Cutanda, á D. Juan de Mata Parada y Pardo. También ha nombrado S.M. para una Cano</t>
  </si>
  <si>
    <t>Josef Guerra</t>
  </si>
  <si>
    <t>to-Rico al Teniente D. Emigdio Andino , segundo Ayudante de la misma; y ha conferido esta resulta d D. Josef Guerra., Alférez del regimiento de Milictas disciplinada de la propia plaza. En consideración á la avanzada eda1A*de *■£). 'Manuel Mansilla , Oidor decano de la Real-Audiencia de Lima, h</t>
  </si>
  <si>
    <t>Josef Guerrero</t>
  </si>
  <si>
    <t>o ei Rey promover á Capitán segundo del tercer regimiento del Real cuerpo de Artillería al Teniente D. Josef Guerrero. Asimismo ha conferido S. M. Ayudantía en el regimiento de caballería de Calatrava al Teniente, graduado de Capitán, D. Juan Grassa : Tenencia en el de Algarbc al Capitán D. Juan</t>
  </si>
  <si>
    <t>Josef Guillen</t>
  </si>
  <si>
    <t>Ferrandiz"; á Exentó de numero al Supernumerario D. Antonio Arteaga; á supernumerarios al Brigadier D. Josef Guillen y al Cadete D. Antonio Pascual Barradas; á Brigadieres á los Subrigaáieres D. Roque Parrada y 1D. Manuel Pallares; á Subrigadieres á los Cadetes D. Manuel Mozota y D. Joaquín Soravi</t>
  </si>
  <si>
    <t>dad-Rodrigo al de fusileros D. Pedro Alcántara de Quirós: á Capitán de fusileros en el de Granada á D. Josef Guillen, Teniente del mismo cuerpo: á Tenientes' de granaderos en los dé Sigiienza y Chinchilla á los de fusileros D. Guillermo Perez Oñana y D. Francisco Amores: á Tenientes de fusileros</t>
  </si>
  <si>
    <t>Josef Guillen de Toledo</t>
  </si>
  <si>
    <t>iento de letras de la ciudad de la Coruña á D. Fernando León Benavides: para el de la de Palencia á D. Josef Guillen de Toledo: para el de la de Marbeila á Don Josef Antonio de Mestas : para el de la de Lbeda á D. Josef Fernandez Quevedo: para el de la de Loxa á D. Ignacio Mariano de Mendoza: para el de l</t>
  </si>
  <si>
    <t>Josef Guillermo de Junco</t>
  </si>
  <si>
    <t>ey se ha servido nombrar para una Ración de la catedral de Valladolid, vacante por fallecimiento de D. Josef Guillermo de Junco, -á D. Francisco de Paula Lison, Canónigo de la colegial de Junquera de .Ambia: para otra de la de Coria, vacante por promoción de D. Juan García Rodríguez ALbarran á la Dignidad</t>
  </si>
  <si>
    <t>Josef Gutiérrez de Luna</t>
  </si>
  <si>
    <t>examinadas, y podra'n dirigir sus memoriales á los patronos de la memoria que fundó en dicha villa D. Josef Gutiérrez de Luna. Su dotación es la de 3520 rs., pagados mensualmcnte por dicnos patronos; y de todas las demas circunstancias informará D. Luis Paradiila, que vive en la calle de Jacometrezo, núm</t>
  </si>
  <si>
    <t>Josef Henriquez de Luna</t>
  </si>
  <si>
    <t>apitán primero al secundo D. Josef Castellar. Condescendiendo el Rey con la súplica que le ha hecho D. Josef Henriquez de Luna, Fiscal del crimen de la Chancillen! de Granada, ha venido S. M. en jubilarle, conservándole todos sus honores, y se ha servido nombrar para ella á D. Alonso de Tovar. También se</t>
  </si>
  <si>
    <t>Josef Hernández</t>
  </si>
  <si>
    <t>ón de D. Juan García Rodríguez ALbarran á la Dignidad de Arcediano titular de la propia catedral, á D. Josef Hernández, Cura Párroco de la villa de Galisteo en aquella diócesis: para otra de la de Canaria, vacante por pro^mocion de D. Antonio Ruiz á la Dignidad de Prior de ella, á D. Josef Dom’ngo</t>
  </si>
  <si>
    <t>Josef Hervas</t>
  </si>
  <si>
    <t>D. Tomas Araujo y D. Francisco Cantala.piedra : y el de tercera se concedió á D. Antonio Cordero j D. Josef Hervas, D. Josef del Campo,. Don Manuel Ibañez, D-. Francisco Apliegas , D. Tomas Pereda, D. Santiago Mela, D. Manuel Pozo Cáceles y D. Gerónimo Mauricio Buey. El primer premio consistía</t>
  </si>
  <si>
    <t>Josef Heydeck, Juan</t>
  </si>
  <si>
    <t>Juan Josef Heydeck</t>
  </si>
  <si>
    <t>sto González Emeritense: en 4.0 marquilla, á-30 rs. en pasta. Defensa de la Religión Cristiana, por D. Juan Josef Heydeck: quatro tomos en 4.0': el i.° á 24 rs. en pasta: el 2.0 en papel fino á 36 en pasta,: y en el regular á 30 en pasta: los tomos 3.° y 4° a S4 cn Pasta* Ilustración de la inscripció</t>
  </si>
  <si>
    <t>Josef Hidalgo</t>
  </si>
  <si>
    <t>D. Cayetano Saqueti, y D. Diego Salido; y á Capitanes primeros á los segundos D. Gil Saenz deTeiada,D. Josef Hidalgo, y D. Francisco de Vargas. También ha conferido S. M. Ayudantía en el regimiento de caballería de España, ccravo de línea, al Teniente D. Cayetano Salcedo; y Tenencias en los del</t>
  </si>
  <si>
    <t>Josef IFervás</t>
  </si>
  <si>
    <t>ierdo, del Consejo de S. M. en el Supremo de Guerra; el Caballero H’ervás, del Consejo de Hacienda; D. Josef IFervás, agregado á la Embaxada de España; el Marques de Montehermoso; el Marques de la Coloniila; el Conde de THly,y el Caballero Rodríguez^ Oficial de Reales Guardias Españolas.__ En la</t>
  </si>
  <si>
    <t>Josef Ignacio Aguasvivas</t>
  </si>
  <si>
    <t>mo ha conferido el Rey el empleo de Médico del hospital Real y militar de la plaza de Puerto-Rico á D. Josef Ignacio Aguasvivas, Médico de número pensionado del exército. Ultimamente, condescendiendo S. M. con la solicitud de la ciudad de Caracas, se ha servido confirmar el nombramiento de Regidor honorari</t>
  </si>
  <si>
    <t>Josef Ignacio Llorens</t>
  </si>
  <si>
    <t>de Olmedo á D, Jcaquin Tercero Gaseo; y para el de la población;de San Roque, campo de Gibraitar, á D. Josef Ignacio Llorens. . : - &gt; Por Escribanía de Cámara y de Gobierno del Consejo Real se ha comunicado con fecha de 14 de Abril la circular siguiente: ,,Con fecha de ó de Marzo de 1802 se comunicó cir</t>
  </si>
  <si>
    <t>Josef Ignacio Palomo</t>
  </si>
  <si>
    <t>rtido y y ha conferido la Alcaldía mayor de Escuin- . tha y Guazacapan, en el Reyno de Goatemala, á D. Josef Ignacio Palomo* En la extracción de la Real lotería executada el lunes i.° del corriente, salieron los números 35 , 23 ,-34, 51 y 63; y con ellos han ganado los jugadores 693,390 rs. El Mercurio</t>
  </si>
  <si>
    <t>Josef Ilincheta</t>
  </si>
  <si>
    <t>o ahera, porque ya le obtuvieron anteriormente. Por tanto, y hallándose actualmente acreedores á él D. Josef Ilincheta y D. Eduardo de la Peña, se sorteó entre ellos, tocando á aquel, y dándose por consiguiente el segundo á este t el tercer premio, sorteado entre D. Francisco Xavier Obregon y D. Ramón</t>
  </si>
  <si>
    <t>Josef Iniesto</t>
  </si>
  <si>
    <t>............ 141-25 Josef Iniesto......................... Navalmoral......................... 14 Lorenzo García........... ...... Sisal vo.............................. 141..25 Josef Mancebo................</t>
  </si>
  <si>
    <t>Josef Isidoro Vehi</t>
  </si>
  <si>
    <t>rez Campana; y á segundo Ayudante en el batallón de Voiuntaiios, primero de Barcelona, al Teniente- D. Josef Isidoro Vehi. S. M. se ha servido conferir en el Regimiento de infantería de América Compartías al Teniente de granaderos D. Manuel de Mendoza, y al Ayudante D. Agu.ctin de Alfaraz, ámbos grad</t>
  </si>
  <si>
    <t>Josef Isla</t>
  </si>
  <si>
    <t>la lengua castellana, Comentarios de César,, traducción de Goya,. con estampas, í tomos en 4.0 2.0; D. Josef Isla*. Comentarios de César, con la traducción de</t>
  </si>
  <si>
    <t>n 8.°__ Lengua francesa. i.°: D. Manuel María Villavicencio: Racine, Tragedias, 4 tomos en 8.° 2.0: D. Josef Isla: Eafontaine, Fábulas, 4 tomos en 8.® con estampas.__ Dibuxo. i.°: Don Serapio de la Hormaza : Principios del diseño en francés , en folio. 2.0: D. Luis Negrí*. Principios de dibux</t>
  </si>
  <si>
    <t>Josef IVÍo</t>
  </si>
  <si>
    <t>ldefonso Fonseca , D. Domingo Cándano, D. Jjjnsjw (Castañeda, D. Francisco Barceló, D. Juan Varona, D. Josef IVÍo ota lleda , D. Joaquín Camacho, Don Juan Martínez, D. Ramón Amaya , E3. JflosefSuarez , D. Pedro del Barco, D. Pedro Nuñez, D. Manuel Kcdriggn§^&lt;» D. Juan Josef Murrieta, Don Fran</t>
  </si>
  <si>
    <t>Josef JBielsa</t>
  </si>
  <si>
    <t>ómez Somorostro; Guarda-AK macen ordinario de Artillería de la fábrica de armas blancas de Toledo á D. Josef JBielsa, y Guarda-Almacén extraordinario de Artillería de la ciudadela de Pamplona á D. Pedro Encinas Lago, Ayudante de Contralor reformado. El Rey ha conferido el empleo de Sargento mayo</t>
  </si>
  <si>
    <t>Josef Joaquín Arias</t>
  </si>
  <si>
    <t>en el Reyno de Nueva-España, se ha servido el Rey promover á Capitán de granaderos al de fusileros D. Josef Joaquín Arias ; á Capitanes a los Te nientes D. Josef María Muxica, D. Manuel Cimavilla y D. Manuel Josef Valenzuela; á Tenientes de granaderos á los de fusileros D. Josef Benica y D. Francisco</t>
  </si>
  <si>
    <t>Josef Joaquín Chacón</t>
  </si>
  <si>
    <t>ín Carrillo Pimentel, al Arcediano de ella D. Pedro Faustino Brunet; para el Arcedianato al Chantre D. Josef Joaquín Chacón; esta Dignidad al Maestrescuela D. Manuel de Salazar; y esta resulta 2I Canónigo Penitenciario D. Santiago Martinez de Peralta: para el Deanato de la iglesia de Santiago de Chile,</t>
  </si>
  <si>
    <t>Josef Jover</t>
  </si>
  <si>
    <t>y para el Corregimiento de la villa del Socorro en el Vireynato de Sta. Fe, vacante por renuncia de D. Josef Jover,á D. Josef Francisco Valdes, Abogado de los Reales Consejos.. Por el Ministerio de Hacienda se ha comunicado con fecha de 2 5 dé Enero último la. Real orden siguiente: „EI Sr. D.</t>
  </si>
  <si>
    <t>Josef Julián</t>
  </si>
  <si>
    <t>amante, D. Domingo Allende, D. Antonio Valcárcel, D. Antonio Díaz de Córdoba , D. Salvador Clavijo, D. Josef Julián, D. Francisco Topete, D. Manuel del Castillo, D. Vicente María Saavedra, D. Miguel Montemayor, D. Antonio Ausejo, D. Martin de Mendoza, D. Felipe Ibargiien, D. Francisco Solís, D.</t>
  </si>
  <si>
    <t>Josef Junquera</t>
  </si>
  <si>
    <t>. Accessit: D. Josef Chacón: Comentarios de César, traducción de Valbuena, 2 tomos en 8.° Accessit: D. Josef Junquera:. Mendoza, Guerra de Granada, Gramática castellana.___'Sintaxis . Propiedad ¿y Prosodia. 1 °: D. Mariano Ibañez: Diccionario de la lengua castellana, Comentarios de César,, traduc</t>
  </si>
  <si>
    <t>Josef Krutter</t>
  </si>
  <si>
    <t>meros de granaderos: Subtenencia de granaderos en él suizo de Schwaller al Subteniente de fusileros D. Josef Krutter; Subtenencias de bandera en el de Mallorca á D. Miguel Juste y D. Esteban López, Sargento.primero de granaderos, y Cadete del mismo cuerpo, y á D. Manuel de la Torré y Cárdenas, C</t>
  </si>
  <si>
    <t>Josef Lamas</t>
  </si>
  <si>
    <t>ido promover en el regimiento de infantería de Ultonia á Ayudante al Teniente; graduado de Gapitan, D. Josef Lamas; y en el de Extremadura á Teniente al Subteniente de granaderos D. Manuel Viiianueva. Al Teniente Coronel D. Marcelino Prat, Sargento mayor de la plaza é isla de Tenerife, ha conc</t>
  </si>
  <si>
    <t>Josef Larraz y Morana</t>
  </si>
  <si>
    <t>Beneficio de la Parroquia de Alagón, Diócesi de Zaragoza&gt; vacante por muerte de Don Manuel Lope , á D. Josef Larraz y Morana. En América. Para el empleo de nueva creación de Teniente Gobernador y Asesor del Gobierno de la isla ,4e la Margarita , jurisdicción de la Audiencia de Caracas, se ha servido el</t>
  </si>
  <si>
    <t>Josef Laso</t>
  </si>
  <si>
    <t>s al Capitán del propio cuerpo D. Antonio Xavier Macares: el1 de Ayudante mayor al segundo Ayudante D. Josef Laso; y esta resulta á D. Francisco Piraces, agregado en la rriiéma clase á dicho esquadron. Por el Ministerio de Hacienda de Indias se ha expedido á aquellos</t>
  </si>
  <si>
    <t>Josef León</t>
  </si>
  <si>
    <t>Aguilar, Tambor.. Val encía., 141-25 Andrés Fernandez........... .. Oviedo........................ D. Josef León , Cabo......... Badajoz.., 283-16 Bernabé Rivas................. .. Prohadusa.................. .... ui Bartolomé Villanueva, id... Bonillo... 283-16 Manuel Biñueli...............</t>
  </si>
  <si>
    <t>D. Gaspar Orue , D.njltyfknuel Josel de Landa, D. Pedro Olea, D. Manuel Enna , D. Alonso Illlaipa, D. Josef León, D. Ildefonso Fonseca , D. Domingo Cándano, D. Jjjnsjw (Castañeda, D. Francisco Barceló, D. Juan Varona, D. Josef IVÍo ota lleda , D. Joaquín Camacho, Don Juan Martínez, D. Ramón</t>
  </si>
  <si>
    <t>Josef Leyva</t>
  </si>
  <si>
    <t>nio Mañeáis D.Joaquín Elgueta, D. Francisco Sarachaga, D. Josef García Joves, ÍD- Miguel Valdasano, D. Josef Leyva, D. Rafael Rodríguez Guerra,,0O. llamón Ortiz Canelas, D. Joaquín de Mora, D. Alonso Solís, X&gt;. Jjunan Robredo, D. Josef Luyando, D. Joaquín de Arce y D. Francisco Perez de Granda</t>
  </si>
  <si>
    <t>Josef Lisola</t>
  </si>
  <si>
    <t>tes á los Subtenientes de granaderos D. Josef Aristizabal y D. Nicolás Pimpin; y á los de fusileros D. Josef Lisola, D. Antonio Luna y D. Josef María Portocarrero: á Subtenientes de granaderos á los de fusileros D. Joaquín Carballo y D. Francisco Cabrera: á Subtenientes de compañía á los de ban</t>
  </si>
  <si>
    <t>Josef Loísel</t>
  </si>
  <si>
    <t>n Arroyo : á Tenientes á los Subtenientes D. Josef de Osorio, de granaderos, graduado de Teniente-, D. Josef Loísel, D. Antonio Caballero, D. Francisco Gatro, D. Narciso Guerra, Don Miguel Cabrera y D. Antonio Hoyos: á Subteniente de granaderos al de fusileros D.JoserArnau: á Subtenientes de Co</t>
  </si>
  <si>
    <t>Josef López</t>
  </si>
  <si>
    <t>ancisco García;y áSubtenientes de banderaá los agregados D. Nicolás Sabifion, graduado de Teniente, D. Josef López, D* Silvestre Ramírez y D. Felipe Carvajal, al Sargento primero de granaderos D. Antonio Hernández, y al Cadete £L Tomas Feroz GuerraPor el Excnio- Sr. £). Josef Antonio Caballero</t>
  </si>
  <si>
    <t>propio Cuerpo; á Teniente de granaderos al de fusileros D. Josef Zapata; á Tenientes de fusileros á D. Josef López y D. Juan Ceiis, Subtenientes del propio; á Subteniente de granaderos á D. F rancisco Cavero, y á Subtenientes de bandera á D. Josef Ureta y D. Josef Moreno, Cadete y Sargento del exp</t>
  </si>
  <si>
    <t>Josef López Adan</t>
  </si>
  <si>
    <t>e con tierra de Santiago Meco Gordo, á mediodia D. Josef de Ribas , á la sierra Josef López Adan, vecino de Argete, y á poniente con Francisco Fernandez , vecino de Coveña, á 800 rs. Otra en dicho.termino y parage, de 3 fan. y 6 cel,, linde á oriente tierra que labra la viuda de Aren</t>
  </si>
  <si>
    <t>Josef López Paez</t>
  </si>
  <si>
    <t>Compañías en el Regimiento de infantería de Asturias al Ayudante del deToledo, graduado de Capitán, Don Josef López Paez: en el de América ai Ayudante con grado de Capitán D. Diego Reguera: Tenencia en el de Zamora al Subteniente de granaderos D. Juan Avello; y Subtenencias de bandera en el expresad</t>
  </si>
  <si>
    <t>Josef López Sobreviñas</t>
  </si>
  <si>
    <t>honorario de Guerra del exército; y á Comisario de Artillería, honorario de Guerra del exército, á D. Josef López Sobreviñas, Contralor reformado de Artillería. El Rey se ha servido promover á Comisario de Artillería, honorario de Guerra del exército, al Guarda-Almacén ordinario de Artillería Don Manuel</t>
  </si>
  <si>
    <t>Josef López, Juan</t>
  </si>
  <si>
    <t>Juan Josef López</t>
  </si>
  <si>
    <t>anuel Muñoz, agregado en esta clase al expresado batallón, y de Subtenientes de bandera al Sargento D. Juan Josef López, y al Cadete D. Josef de Santa y Buci: en el cuerpo veterano de infantería de Guayana empleo de Capítan al Ayudante mayor de este cuerpo D. Antonio Orozzo; esta resulta al Tenient</t>
  </si>
  <si>
    <t>Josef Luciano Carrillo</t>
  </si>
  <si>
    <t>impuesto á favor deí mayorazgo que goza D. Josef Luciano Carrillo. Quien quisiere cóinjprar estas con dicha carga, y aquellas sin alguna*, acuda ante dicho Sr¿ Asesor-general por la escribanía de D. Angel de Urrúchí, que se admitirán las postut</t>
  </si>
  <si>
    <t>Josef Luis de Ázlor</t>
  </si>
  <si>
    <t>ha servido S. M. conferir Compañía en eld¡e Cazadores ;de;Pavía al Ayudante, con grado de Capitán, D. Josef Luis de Ázlor : empleo de Teniente en el de Húsares Voluntarios á D* Juan Gómez de la PIoz; y el de Alférez en el propio Cuerpo al Cadete D. Antonio Henri. En América. Para el empleo de «Tenien</t>
  </si>
  <si>
    <t>Josef Luyando</t>
  </si>
  <si>
    <t>odríguez Guerra,,0O. llamón Ortiz Canelas, D. Joaquín de Mora, D. Alonso Solís, X&gt;. Jjunan Robredo, D. Josef Luyando, D. Joaquín de Arce y D. Francisco Perez de Grandallana. A Tenientes de Fragata ¿h Alféreces de Navio D. Rafael de Luna, que era graduado;, I). Santiago Echapparret, Don Cárlos Ma</t>
  </si>
  <si>
    <t>Josef Madrigal</t>
  </si>
  <si>
    <t>la parroquial de la villa de Sta. Olalla , en el'mismo arzobispado, vacaiites por fallecimiento de D. Josef Madrigal, á D. Pablo Gómez Négiete : para el Beneficio Préstamo' del lugar de Villarmeró, en eí arzobispado de Burgos * vacante por muerte de D. Diodoro Salamanca , á D. Alexcr Accves: par</t>
  </si>
  <si>
    <t>Josef Maldonado</t>
  </si>
  <si>
    <t>ervido S» M. promover á Capitán al Ayudante D. Pedro Dilate, y á Ayudante al Teniente de granaderos D. Josef Maldonado., En atención á los méritos y circunstancias de D. Francisco Belda y P1 á, vecino de la villa de Boeayrente, rey no de Valencia ,Comisario honorario de Guerra , se ha servido eiRE</t>
  </si>
  <si>
    <t>Josef Mancebo</t>
  </si>
  <si>
    <t>........... 141..25 Josef Mancebo.................... Ajofrin................................ 14 Juan Vázquez....................... Santa Covan..................... 141.25 Francisco Cuerda............</t>
  </si>
  <si>
    <t>Josef Mancho</t>
  </si>
  <si>
    <t>M. se ha -servido nombrar para una CanOngía de'Ia catedral de Huesca, vacanteipot fallecimiento de D. Josef Mancho , á Di Lúeas Ra</t>
  </si>
  <si>
    <t>Josef Manrique, Juan</t>
  </si>
  <si>
    <t>Juan Josef Manrique</t>
  </si>
  <si>
    <t>e ha servido nombrar para la Canongía Doctoral, de la catedral de Arequipa vacante por promoción de D. Juan Josef Manrique á la. Dignidad de T¿esorero de la misma, á D. Manuel de Menaut, Cura de aouella diócesis: para una Ración de la de Quito, vadeante por haberla renunciado D&lt; Miguel Gomez de la Peñ</t>
  </si>
  <si>
    <t>Josef Mansilla, Pedro</t>
  </si>
  <si>
    <t>Pedro Josef Mansilla</t>
  </si>
  <si>
    <t>húsares. Un América. Para una Canóngía de la metropolitana de Charcas, vacante por fallecimiento de D. Pedro Josef Mansilla , se há servido S. M. nombrar á D. Juan Josef Ortiz de Rozas: para su Ración á D. Mariano Fvodriguez de Olmedo, y para la Media-Ración, que este dexa, á Don Francisco Borja de Sar</t>
  </si>
  <si>
    <t>Josef Manuel de Villena</t>
  </si>
  <si>
    <t>a servido el Rey conferir el empleo de Coronel del regimiento de milicias provinciales de Badajoz á D. Josef Manuel de Villena, Conde de Via-Manuel. Por Escribanía de Cámara y de Gobierno del Consejo se ha comunicado, con fecha de 24 de Setiembre, la circular siguiente. „ La Justicia y Ayuntamiento, los S</t>
  </si>
  <si>
    <t>Josef Manuel Díaz de la Madrid</t>
  </si>
  <si>
    <t>, D. Tomas Arroyo, D. Josef DomingoUrquisavaso, D. Luis de Vera, D. Josef María Fernandez Boullosa, D. Josef Manuel Díaz de la Madrid, D. Francisco Ruiz Linares , D. Francisco Xavier y Andrade , Don Josef María Noriega, D. Joaquín Artacho y Moreno y D.Francisco Zosaya, veciiios de aquella provincia. El ib del co</t>
  </si>
  <si>
    <t>Josef Manuel González</t>
  </si>
  <si>
    <t>l de fusileros D. Juan Quiñones: á Subtenientes de granaderos á los de fusileros D. Juan de Castro, D. Josef Manuel González y D. Vicente Martínez: á Subtenientes de compañía á los de bandera D. Luís Trevejos, D. Domingo Lamadriz y D. Bernardo Espert; y á Subtenientes de bandera á los Cadetes D. Josef Grego</t>
  </si>
  <si>
    <t>Josef Manuel Machado</t>
  </si>
  <si>
    <t>Antonio Machado; á la de este al Alférez D. Josef María Consuegra, y á la que este déxa al Sargento D. Josef Manuel Machado. También se ha servido el Rey conferir el empleo de Sargento mayor del batallón de Milicias disciplinadas de Puerto-Príncipe, en la referida isla , á D. Miguel Gañalejo, Gapitan d</t>
  </si>
  <si>
    <t>Josef Manuel Villanueva</t>
  </si>
  <si>
    <t>es y D. Josef María Roa; á Subtenientes de granaderos ái de fusileros D. Josef Viya y al de bandera D. Josef Manuel Villanueva, y á Subtenientes á D. Dimas de Cañas, D. Tomas Arroyo, D. Josef DomingoUrquisavaso, D. Luis de Vera, D. Josef María Fernandez Boullosa, D. Josef Manuel Díaz de la Madrid, D. Fran</t>
  </si>
  <si>
    <t>Josef Marcos Gutiérrez</t>
  </si>
  <si>
    <t>1149 Práctica criminal cíe España, tomo i.°: dale á luz D. Josef Marcos Gutiérrez, autor del Febrero reformado y anótalo para complemento de esta obra que carecía de tratado criminal, y en cumplimiento de lo que ha ofrecido al público: dicha práctica podrá serv</t>
  </si>
  <si>
    <t>Josef María</t>
  </si>
  <si>
    <t>la mitacion de Prádena, en la diócesis de Córdoba, por fallecimiento de D. Juan Antonio Cutanda, á D. Josef María de .Miera Pacheco ; y para el Benefw ció de la villa de Espera, en dicho arzobispado de Sevilla , vacante por muerte de D. Agustín González de Mendoza, á D. Antonio. JosefMoran, Cura</t>
  </si>
  <si>
    <t>Josef María Bayot</t>
  </si>
  <si>
    <t>D. Mariano Ortiz y D. Josef Dimalanta; y á Subtenientes de bandera á los Cadetes D. Josef Aguirre, D. Josef María Bayot, D. Joaquín María Bayot y D. Manuel Vicente Corrales. En el de Milicias disciplinadas de infantería deda Havana ha promovido S. M. á Capitanes á los Subtenientes de granaderos D.</t>
  </si>
  <si>
    <t>Josef María Blak</t>
  </si>
  <si>
    <t>ingo Marcell, que ec^grsídmiado, D. Leandro de Ocio, que lo era igualmente, D. Josef CieafueggP'S 1 D. Josef María Blak, D. Simón Mesía, D. Josef Godoy, D. Manuel Scoroez, D.Manuel Arévalo , D. Josef Caballero, D. Gaspar Orue , D.njltyfknuel Josel de Landa, D. Pedro Olea, D. Manuel Enna , D. Alonso</t>
  </si>
  <si>
    <t>Josef María Blanco</t>
  </si>
  <si>
    <t>, pro-Censor, sobre el influxo del estudio de las humanidades en la moral. A continuación, el socio D. Josef María Blanco leyó una oda, que intituló el triunfo de la beneficencia , cuyo objeto fue manifestar que ella remedia todos los males que afligen la humanidad, y es la fuente de los más dulces p</t>
  </si>
  <si>
    <t>Josef María Cendrera</t>
  </si>
  <si>
    <t>Don Ildefonso Rifa: en el de Granada á D. Rafael Arango y D. Gaspar Echevarría: en el de Valencia á D. Josef María Cendrera, D. Manuel Ramírez y D. Benito Barraguer: en el de España á D. Josef Cardona y Don Antonio Chicheri: en el de Toledo á D. Blas Muñoz de Toro y D. Angel Montes y Ordoñez : en el de</t>
  </si>
  <si>
    <t>Josef María Consuegra</t>
  </si>
  <si>
    <t>r de Consuegra; á esta resulta al Subteniente D. Francisco Antonio Machado; á la de este al Alférez D. Josef María Consuegra, y á la que este déxa al Sargento D. Josef Manuel Machado. También se ha servido el Rey conferir el empleo de Sargento mayor del batallón de Milicias disciplinadas de Puerto-Prínc</t>
  </si>
  <si>
    <t>Josef María Dana</t>
  </si>
  <si>
    <t>A los .Subtenientes; B,i Blas Manuel Teruel, Don Jóséf Armendariz, JE).'iAntonio'Retúon del Valle» ,D. Josef María Dana» D. Josef Gortines , DvVicente Sancheg, !&gt;•' Joaquín de la Cruz, Don Rafael del Barrio , D. Joaquín Viado, D. Ignacio OrdoVas, D. Luis Cantío Montenegro y D. Miguel Santiilana. Po</t>
  </si>
  <si>
    <t>Josef María Daza</t>
  </si>
  <si>
    <t>experimento de introducir la vacuna con las costras de los granos de la misma__ D. Josef María Daza, médico de la villa de S. Vicente, le aviso que había leido en el Semanario de Agricultura que un médico de Viena, llamado Uberlacher, había hecho varios experimentos con la costr</t>
  </si>
  <si>
    <t>Josef María de Andrade</t>
  </si>
  <si>
    <t>ias en los de Inmemorial del Rey, Valencia, Navarra, Uitonia, América y Nápoles, á los Subtenientes D. Josef María de Andrade, Don Joaquín Bas, D. Juan Yañez, D. Mateo Collinghs,D. Josef Peña Carrillo, D. Antonio Designi y D. Juan Medina: y Subtenencias de bandera en los de España, Burgos, Uitonia y Borb</t>
  </si>
  <si>
    <t>Josef María de Ariza</t>
  </si>
  <si>
    <t>á Galiano : á Capitanes de fusileros de los de Sigiiénza y Chinchilla á los Tenientes de granaderos D. Josef María de Ariza y D. Bartolomé de Moya, y al Capitán agregado D. Juan Carrascosa: á Teniente de "granaderos del de Pontevedra al de fusileros D. Antonio Pardo: á Tenientes de fusileros de los de Ecij</t>
  </si>
  <si>
    <t>Josef María de Gamboa</t>
  </si>
  <si>
    <t>Nt-ra. Sra. de Guadalupe de México, vacante por fallecí miento ée D. Juan Agustín de Laooizqueta, a D. Josef María de Gamboa, Cura en aquel arzobispado. Asimismo se ha servido S. M. nombrar para la plaza de Fiscal del Consejo y Cámara de Indias , por lo perteneciente al Perú, vacante por muerte de D. Am</t>
  </si>
  <si>
    <t>Josef María de la Torre</t>
  </si>
  <si>
    <t>f de Soto, Comandante del tercer batallón, y esta resulta al Capitán, graduado de Teniente Coronel, D. Josef María de la Torre; habiendo también promovido á Capitán al Ayudante D. Manuel Castellanos: á Ayudantes á los Tenientes D. Joaquin Horruitiner, de granaderos, y D. Esteban Menocal: á Teniente de gra</t>
  </si>
  <si>
    <t>Josef María de Lezpona</t>
  </si>
  <si>
    <t>cación del carácter militar, con las consideraciones que este se merece del común de la nación: por D. Josef María de Lezpona. Se hallará en la librería de Tieso, calle de las Carretas. El tomo g.° y último de las novelas de Cervantes le recogerán los subscriptores de las librerías de Dávila y Fuentenebr</t>
  </si>
  <si>
    <t>Josef María de Roxas</t>
  </si>
  <si>
    <t>término rural de la Vicaría de S. Lúcar de Barrameda, vacante por haber tomado estado de matrimonio D. Josef María de Roxas, y para el de Tejada, en la Vicaría de Paterna , por muerte de Don Antonio Quintana , ambos en el arzobispado de Sevilla , d D. Esteban Querol, Capellán de Honor de S. M.: para el</t>
  </si>
  <si>
    <t>Josef María de Torrijos Compañía</t>
  </si>
  <si>
    <t>ctivas. » ESPAÑA, \ ’ . Madrid rS de Setiembre. f El Rey se ha servido conferir á su caballero Page D. Josef María dé Torrijos Compañía en el regimiento dé infantería de Ultonia. También se ha servido S. M. conceder en el regimiento de* infantería de Cantabria Subtenencia de bandera al Cadete D. Manuel Paulin. En el</t>
  </si>
  <si>
    <t>Josef María Escovar</t>
  </si>
  <si>
    <t>deau; á Alféreces á los Portaguiones D. Salvador Moreyra y D. Juan Francisco Zamudio; á los Cadetes D. Josef María Escovar,</t>
  </si>
  <si>
    <t>Josef María Fernández Boullosa</t>
  </si>
  <si>
    <t>á Subtenientes á D. Dimas de Cañas, D. Tomas Arroyo, D. Josef DomingoUrquisavaso, D. Luis de Vera, D. Josef María Fernandez Boullosa, D. Josef Manuel Díaz de la Madrid, D. Francisco Ruiz Linares , D. Francisco Xavier y Andrade , Don Josef María Noriega, D. Joaquín Artacho y Moreno y D.Francisco Zosaya, veciiios</t>
  </si>
  <si>
    <t>Josef María Frontado</t>
  </si>
  <si>
    <t>te veterano D. Ignacio Ruata; y para el de Subteniente voluntario de las propias milicias al Cadete D. Josef María Frontado. Para el empleo de Teniente y Subteniente de la Compañía de milicias disciplinadas de caballería de la villa de S. Carlos» en la provincia de Ca</t>
  </si>
  <si>
    <t>Josef María García Rodrigo</t>
  </si>
  <si>
    <t>e corriente, y días simientes, á las 9 ^ la mañana, para que los discípulos de dicha Real escuela , D. Josef María García Rodrigo, D. Leonardo Vidal, D. Gregorio González AzaoU, D. Gabriel Fernandez Tabeada, D. Benito Tellez deMeneses y D.Estéban Demetrio Brúñete, hagan en el Real Laboratorio de Química, est</t>
  </si>
  <si>
    <t>Josef María Jtengel</t>
  </si>
  <si>
    <t>z; á Subteniente de fusileros al de bandera D. Vicente Prieto, y á Subteniente de bandera ai Cadete D. Josef María Jtengel. Por el Ministerio de Hacienda se ha comunicado á los Consulados, con fecha de 17 de Abril, la Real orden siguiente: A los Intendentes y Subdelegados ae Rentas les digo con esta f</t>
  </si>
  <si>
    <t>Josef María López Loarte</t>
  </si>
  <si>
    <t>e infantería de Maracaybo D. Mariano Luzardo; y en el ae Extremadura al Cadete del mismo regimiento D. Josef María López Loarte. También se ha servidoS. M. nombrar en el regimiento de caballería de Algarbe, noveno de línea, Portaestandarte al Cadete D. Francisco Escofet. Para el Gobierno militar y político</t>
  </si>
  <si>
    <t>Josef María Manso</t>
  </si>
  <si>
    <t>nto de Reales Guardias Españolas se ha servido promover el Re y á Capitán al Teniente de granaderos D. Josef María Manso. S. M. se ha dignado conferir el empleo de Coronel del regimiento de infantería de Guadalaxara al del Fixo de Ceuta D. Vicente Martorell: Compañías en los de Murcia y Ordenes Mili</t>
  </si>
  <si>
    <t>Josef María Martínez</t>
  </si>
  <si>
    <t>án reformado D. Vicente Gómez del Mercado: á Tenientes en los de Sevilla y Xerez á los Subtenientes D. Josef María Martínez y D. Mariano Rodríguez: á Subtenientes de granaderos en los de Eeija y Avila á los de fusileros D. Francisco Ruano Calderón y D. Fermín Monge; y á Subtenientes de bandera en los de Va</t>
  </si>
  <si>
    <t>Josef María Mercado</t>
  </si>
  <si>
    <t>ef de Ortega; y á Subtenientes al Sargento primero de granaderos D. Cristóbal Hernández y al Cadete D. Josef María Mercado:, en el de Mallorca á Subtenientes de bandera al Sargento primero D. Julián Ibarra, y á les Cadetes D. Josef San Miguel y Mateos y D. Miguel de Artola; y en el batallón de Volunta</t>
  </si>
  <si>
    <t>Josef María Morcillo</t>
  </si>
  <si>
    <t>o de infantería de la Luisiana á D. Manuel Artazo, Comandante del tercer'batallón-del de Sevilla, y D. Josef María Morcillo, Capitán del de Córdoba , concediendo también á este el grado de Teniente Coronel. Asimismo ha promovido S. M. en el batallón de Milicias disciplinadas de las Qnatro Villas , en l</t>
  </si>
  <si>
    <t>Josef María Muxica</t>
  </si>
  <si>
    <t>mover á Capitán de granaderos al de fusileros D. Josef Joaquín Arias ; á Capitanes a los Te nientes D. Josef María Muxica, D. Manuel Cimavilla y D. Manuel Josef Valenzuela; á Tenientes de granaderos á los de fusileros D. Josef Benica y D. Francisco Diez Barroso; á Tenientes á los Subtenientes de gran</t>
  </si>
  <si>
    <t>Josef María Noriega</t>
  </si>
  <si>
    <t>osa, D. Josef Manuel Díaz de la Madrid, D. Francisco Ruiz Linares , D. Francisco Xavier y Andrade , Don Josef María Noriega, D. Joaquín Artacho y Moreno y D.Francisco Zosaya, veciiios de aquella provincia. El ib del corriente mes dé Abril dio fonido eri el puerto de la Cortina el bergantín correo de la</t>
  </si>
  <si>
    <t>Josef María Olive</t>
  </si>
  <si>
    <t>• ' . 6/7 Guadalaxara y Uitonia Tenencias á les Subtenientes D. Josef María Olive y D. Manuel Motes; y Subtenencias de bandera en los de Asturias y Ñápeles á los Sargentos, primeros D. Jayme Sanz y D. Juan Ca.samayorj, y en los del Inmemorial del Rey , Granada y Mu</t>
  </si>
  <si>
    <t>Josef María Otero</t>
  </si>
  <si>
    <t>. Antonio María de Lomas: para la vara de Alcalde mayor de las nuevas poblaciones de Sierramorena á D. Josef María Otero: para la de Alcalde-mayor , segundo de la ciudad de Córdoba, á D. Josef Omulrian: para la de la villa de Yepes á D. Mariano Lafuentey</t>
  </si>
  <si>
    <t>Josef María Pérez Valiente</t>
  </si>
  <si>
    <t>cuda ante dicho Sr. Teniente, por la escribanía del citado D. Antonio Fernandez. Por el Sr. Alcalde D. Josef María Perez Valiente, Juez Interventor, en virtud de Real orden de la casa y rentas del Exeme. Sr. Marques de Bedmar y Escalona, en providencia de 6 del corriente, refrendada del Escribano de cámara d</t>
  </si>
  <si>
    <t>Josef María Puente</t>
  </si>
  <si>
    <t>guel Diez de Santillana, Alcalde mayor de la ciudad de Salamanca, confiriendo la que este obtenía á D. Josef María Puente, que lo era de la referida villa de Oli venza. En América. En consideración á la avanzada edad del Teniente General Marques de Aviles, se ha servido el Rey exonerarle del Vireynat</t>
  </si>
  <si>
    <t>Josef María Relaño y Arias</t>
  </si>
  <si>
    <t>las provincias internas de Nueva-España, que ha vacado por fallecimiento de D. Miguel Rodríguez, á D. Josef María Relaño y Arias, Abobado de sus Reales Consejos , y de los del Colegio de Cádiz. También ha concedido S. M. jubilación al Secretario de la Presidencia del Consejo de Indias D. Saturnino Barbaza ,</t>
  </si>
  <si>
    <t>Josef María Sánchez</t>
  </si>
  <si>
    <t>eos de Tenientes á los Subtenientes D. Francisco Orozco y D. Juan Pons; y de Subtenientes al Cadete D. Josef María Sánchez y al Sargento D. Isidro de la Osa. Asimismo ha nombrado S. M. para la primera Ayudantía de la plaza de Cumaná á D. Manuel de Villapol, segundo Ayudante de las milicias de blancos de</t>
  </si>
  <si>
    <t>Josef María Uztariz</t>
  </si>
  <si>
    <t>e al Alférez del propio esquadron D. Juan Rodríguez de la Madrid ; el de Alférez al Portaestandarte D. Josef María Uztariz; y esta resulta áí Cadete D. Francisco Pelaez. Asimismo ha nombrado S. M. Viréy , Gobernador y Capitán general de las provincias del Rio de la Plata con la Presidencia de la Real</t>
  </si>
  <si>
    <t>Josef María Valladares</t>
  </si>
  <si>
    <t>ipólito de Córdoba, vacante por promoción de D.Juan Gómez Mayoral á la Dignidad de Prior de ella, á D. Josef María Valladares, MedioRacionero de la catedral de Salamanca : para la Media-Ración que este dexa en dicha catedral á D. Pedro Ovando: para el Beneficio servidero de S. Benito de la ciudad de Sala</t>
  </si>
  <si>
    <t>Josef María Viguera</t>
  </si>
  <si>
    <t>y á Subtenientes de bandera en los de Valladolid, Ciudad-Rodrigo, Logroño, Ciudad-Real y Segovia á D. Josef María Viguera, D. Félix Mateo Rodríguez Aparicio, D. Carlos Pelayo Tolrá, D. Juan Hidalgo y D. Manuel Eduardo Gorostiza y Cepeda. Por Escribanía de la Cámara y de Gobierno del Consejo Real se h</t>
  </si>
  <si>
    <t>Josef Mariano Cardona</t>
  </si>
  <si>
    <t>ión de la Metropolitana de Lima, vacante por fallecimiento de D. Antonio Fernandez de la Cámara * á D. Josef Mariano Cardona, Cura en el nais-iho Arzobispado» También ha nombrado S. M. Regidor honorario de la villa de Rio-** bamba, distrito de la Audiencia de Quito, á D. Leandro Sepia y Oro, Cacique pri</t>
  </si>
  <si>
    <t>Josef Mariano Fernández</t>
  </si>
  <si>
    <t>e ha dignado el Rey promover &lt;i Tenientes á los Alféreces de los mismos cuerpos D. Manuel Llanes, y D. Josef Mariano Fernandez, este graduado de Teniente. En ios regimientos Provinciales ha promovido S. M. á Teniente de granaderos del de Bujalance al de fusileros D. Francisco Bastardo Cisneros: á Teniente</t>
  </si>
  <si>
    <t>Josef Mariano Morera</t>
  </si>
  <si>
    <t>ervido nombrar para un Beneficio de la catedral de Urgel, vacante por muerte de D. Josef Bastida, á D. Josef Mariano Morera. El Rey se ha servido conferir Compañías en el regimiento de infantería de Murcia al Teniente, graduado de Capitañ, D. Vicente María</t>
  </si>
  <si>
    <t>l Beneficio , baxo la invocación de S. Antonio Abad, unido con otros dos de la catedral de Urgel, á D. Josef Mariano Morera: para otro de la misma catedral, baxo la invocación de S. Bernardo, unido con otros dos de la misma iglesia, á</t>
  </si>
  <si>
    <t>Josef Márquez de la Plata</t>
  </si>
  <si>
    <t>de Oidor de la Real Audiencia de Buenos-Ayres, vacante por fallecimiento de Don Francisco Garasa, á D. Josef Márquez de la Plata, Fiscal de lo civil de la propia Audiencia. Por el Ministerio de Hacienda se ha comunicado con fecha de 23 de Febrero la. Real orden siguiente: Con esrta fecha digo lo siguiente á</t>
  </si>
  <si>
    <t>Josef Marquina Galindo</t>
  </si>
  <si>
    <t>Alcalde, y por la escribanía dé provincia de D. Miguel1 Josef.de Ja Madrid." Por el juzgado del Sr. D. Josef Marquina Galindo, del Cofiséjo de S. M., Alcalde decano de su Real casa y corte, se está subastando una casa sita en la Plaza mayor de esta corte, portal de Cabestreros, núm. 21, de 555 pies de si</t>
  </si>
  <si>
    <t>ara la plaza del Consejo Real, vacante por fallecimiento del Sr. D. Pedro Antonio Carrasco , al Sr. D. Josef Marquina Galindo,Ministro decano de la Sala de Alcaldes de su Real casa y corte..</t>
  </si>
  <si>
    <t>Josef Marquína Galindo</t>
  </si>
  <si>
    <t>ior de 1803 se anunció que de consentimiento de los interesados, y en virtud de providencia del Sr. D. Josef Marquína Galindo, Alcalde que en aquella época era de la Real casa y corte, por la escribanía de provincia de D. Manuel Isidro del Campo, se mandaba socar á pública subasta un diamante brillante d</t>
  </si>
  <si>
    <t>arar el Corregimiento de Madrid, que obtiene, de la Intendencia de su provincia, y nombro para él á D. Josef Marquina Galindo, uniéndolo por su persona al Gobierno de la Sala de Alcaldes de Casa y Corte, á la qual asistirá siempre que sus ocupaciones se lo permitan, percibiendo los sueldos y emolumentos,</t>
  </si>
  <si>
    <t>Josef Marquina y Galindo</t>
  </si>
  <si>
    <t>Luis de Mata Araujo en su casa calle del Caballero de Gracia, num. 37. Presidió el certamen el Sr. D. Josef Marquina y Galindo , del Consejo de $. M., Alcalde decano de su Real casa y corte , por comisión del supremo Consejo, á quien se dedicó el exercicio. Dicho Sr. Presidente, y el lucido concurso de mu</t>
  </si>
  <si>
    <t>Josef Marquina y Galludo</t>
  </si>
  <si>
    <t>do S. M. en nombrar para la plaza de Alcalde de su Real casa y corte, vacante por promoción del Sr. D. Josef Marquina y Galludo , á D. Felipe Gil de Taboada, Oidor de lá Chancillería de Granada : para !a de Oidor, que este dexa, á D. Francisco Leen Bendicho, Alcalde del crimen mas antiguo de la citada Chan</t>
  </si>
  <si>
    <t>Josef Marrón</t>
  </si>
  <si>
    <t>l de estos reynos: para el Arcedianato titular de la metropolitana de Burgos, vacante por muerte de D. Josef Marrón, á D. Ignacio Alonso Bujedo,Canónigo de la misma , pensionándole en 5® rs. á favor de la Real capilla: para una Ra.cion de la catedral de Tuy, vacante por promoción de D. Bernardo</t>
  </si>
  <si>
    <t>Josef Martínez</t>
  </si>
  <si>
    <t>cíe trozo Don lúeas de VeJasca, Cadete del batallón de Voluntarios de Navarra * y el semina* ri'sta D. Josef Martínez. ; / ;i , En la gazeta núm. 23 , pág. 261 , lín*. n, donde dice D. Rípmon del'Agüila, debe decir D. Román,... . : ‘ pesos , núms. 325309, 2 274047 2 2/42 1 , 2 27446 2 27544 ,’ 2</t>
  </si>
  <si>
    <t>7oo varado, los gefes de trozo D. JósefBerrosteguieta y D. Sebastián de Gorvea, y los seminaristas D. Josef Martínez, IX'Manuel Fernandez, su hermano D. Josef, D. Bernabé Otalora, D. Ambrosio Velasco y D. Manuel Cámara. Y es también digno de publicarse, que el Cadete de Reales Guardias Walonas D</t>
  </si>
  <si>
    <t>Josef Martínez de Mazas</t>
  </si>
  <si>
    <t>audidos, como deben serlo el Director D. Fernando de Valenzuela Prado, el Dean de esta Sta. Iglesia D. Josef Martínez de Mazas, el Coronel de exército D. Andrés de Viedma, D. Fernando y D. Juan Josef de Aranda, Maestrantes de Ronda y Granada, que á sus expensas sostienen la casa de labor y piedad, donde c</t>
  </si>
  <si>
    <t>Josef Martínez del Corro</t>
  </si>
  <si>
    <t>tnte de Arrióla: para la de Azuaga á D. Carlos Guerrero, ambas de segunda clase: para la de Uclés á Don Josef Martínez del Corro: para la del Toboso á D. Nicolás Velazquez Zurita, estas de primera clase: para la de Hornachos á D. Andrés Amat y Robles; y para el Corregimiento de Guadalcanal á D. Ciro de Mene</t>
  </si>
  <si>
    <t>Josef Martínez, Juan</t>
  </si>
  <si>
    <t>Juan Josef Martínez</t>
  </si>
  <si>
    <t>al de la ciudad de Cascante, en el Reyno de Navarra, diócesis de Tarazona, vacante por promoción de D. Juan Josef Martínez á un Beneficio de las parroquias unidas de la de Corella , á D. Aniceto García Martínez, Cura de Santa María de Palacio de Logroño: para el quarto Préstamo de ruencarral, en el ar</t>
  </si>
  <si>
    <t>Josef Maseda</t>
  </si>
  <si>
    <t>de la parroquia de Sta. Leocadia, de la villa de Talavera de la Reyna, vacante por fallecimiento de D. Josef Maseda, á D. Juan Antonio Ramírez Tercero de Rozas. El bergantín correo de la Real Armada nombrado el Casilda salió de los puertos de Veracruz y la Ha vana en los dias 8 de Octubre y 10</t>
  </si>
  <si>
    <t>Josef Mastratí</t>
  </si>
  <si>
    <t>romovido S. M. á Teniente de granaderos al Teniente veterano Doi* Carlos Santas, y á esta resulta á D. Josef Mastratí, Sargento primero veterano del mismo cuerpo: y en la compañía urbana de caballería del partido de Aivarez, jurisdicción de la villa de Santa Clara, en la isla de Cuba , ha promovi</t>
  </si>
  <si>
    <t>Josef Mata</t>
  </si>
  <si>
    <t>í exhibir la cantidad, rramfestándolo algún hé$ede¡ro desaquella difunta&gt;. pata lo qual acudirán á ,D. Josef Mata 1 y plazuela ‘de,Sí F;tapciscp,;qúejdicño 'señor es tío del féjferido Mostré.., y sé:lo avisarL V'habiendp escrito á dicho ÍX. Pedro Trias,k&gt;bre ¡el particular , manifestando que</t>
  </si>
  <si>
    <t>Josef Matasan</t>
  </si>
  <si>
    <t>141-25 Josef Matasan...................... Navalilla.................. J41..25 Manuel Perez....................... Ovejo............ 141-25 Francisco Romero...............</t>
  </si>
  <si>
    <t>Josef Mazarredo</t>
  </si>
  <si>
    <t>ranca, D. Baltasar Cornelias, D. Josef Rodríguez Truxillo, D. Josef Pereyra, D. Santiago Mazarredo, D. Josef Mazarredo, D. Juan de’Vera, D. Pedro de Salazar, D. Felipe Esteller,, D. Josef del Viso, D. Jacinto Marcaida, D. Juan Bautista Lanz y Don; Francisco Ponce de León. Digesto teórico-práctico,</t>
  </si>
  <si>
    <t>Josef Medrano y Treviño</t>
  </si>
  <si>
    <t>Rosa, D. Josef Sánchez Boado y Reguera, D. Francisco Mena y Ferran, D. Luis *Lardizabal y Montoya, D. Josef Medrano y Treviño, D. Joaquin Escario y Carrasco, D. Joaquin Vivanco y Yun , D. Pedro Ortiz de Zarate y Ara , D. Juan Bravo de Rivero, D. Josef González de Merino, D. Bernardo Gil de Ledesma y Seix</t>
  </si>
  <si>
    <t>Josef Melgares</t>
  </si>
  <si>
    <t>ado, Don Francisco Villavicencio, D. Luis de Basave, D. Francisco de la Lastra, D. Felipe Saavedra, D. Josef Melgares, D.. Alonso Ramírez , D. Antonio Osorio, D. Manuel Alyarez, D. Bartolomé Pita Daveyga, D. Luis de los Ríos, D. Francisco Calvo, D. Luis Perez del Camino, D. Gonzalo Gómez, D. Anto</t>
  </si>
  <si>
    <t>Josef Mendivil</t>
  </si>
  <si>
    <t>n de Soroa, D. Adriinti.Morquecho, D. Bartolomé Arguelles, D. Fernando Becerra, D. Rafkl Bovadillo, D. Josef Mendivil, I). Antonio Saavedra, D. Vicente Vallijcel, D. Josef Primo de Ribera,</t>
  </si>
  <si>
    <t>Josef Merino, Juan</t>
  </si>
  <si>
    <t>Juan Josef Merino</t>
  </si>
  <si>
    <t>y ha prefinido hasta fin del presente Julio para la admisión de memoriales, que se han de dirigir á D. Juan Josef Merino, Regidor perpetuo y decano de su Ayuntamiento, Semanario de agricultura y artes: tomo xv: trata de los medios de mejorar y fomentar la agricultura; de su enseñanza en establecimie</t>
  </si>
  <si>
    <t>Josef Mesalles</t>
  </si>
  <si>
    <t>gona, baxo la invocación de S. Bartolomé, unido al de S. Juan Bautista y Evangelista, por muerte de D. Josef Mesalles, á D. Pedro Benet: para otro de la Catedral de Tortosa, vacante por fallecimiento de D. Bartolomé Pallares, á D. Buenaventura Rovira. El Rey se ha servido conferir Compañía en el</t>
  </si>
  <si>
    <t>Josef Miguel</t>
  </si>
  <si>
    <t>n al Ayudante D. Félix Navamuel; á Ayudante al Teniente D. Fernando Antoneli; á Teniente al Alférez D. Josef Miguel; á Alférez al Portaguión D. Félix Malo, y á Portaguión al Cadete D. Francisco Herrera. * La ciudad de Náxera, en la provincia de la Rioja , en virtud de Real privilegio, ha celebr</t>
  </si>
  <si>
    <t>Josef Miguel Sarasa</t>
  </si>
  <si>
    <t>as de Santos para todos los dias del año, con la explicación de las fiestas movibles, dispuesto por D. Josef Miguel Sarasa. Es un compendio1 de los Años Cristianos y Santorales mas exactos que se conocen en España y fuera de ella, acomodado para que en las familias bien arregladas puedan leerse diaria</t>
  </si>
  <si>
    <t>Josef Miquez</t>
  </si>
  <si>
    <t>s respectivos ramos de su clase D. Fermín Ballesteros y Cardaza, D. Angel Ruiz , D. Josef Cov-ían-, D. Josef Miquez , Ramón Rodríguez y D!. Josef Poladura, el que mas de 10 años de edad, y D. Miguel Miquez y Emidio Aragunde de 12. años: de manera que todos los circunstantes no pudieron menos de</t>
  </si>
  <si>
    <t>Josef Miranda</t>
  </si>
  <si>
    <t>de Capitán,Don Manuel Héctor: Tenencias en los dé Sevilla y Málaga á los Subtenientes de granaderos D. Josef Miranda y D. Josef Rico; y Subtenencias de</t>
  </si>
  <si>
    <t>Josef Molina</t>
  </si>
  <si>
    <t>tes Don Bartolomé. Pizarro, D. Miguel del Pino, y D. Wenceslao del Pino, y á los Sargentos primeros D. Josef Molina , y D. Agustín Saumingue. Asimismo en el regimiento de dragones de México se ha servido S. M. promover á Teniente Coronel ai Sargento mayor D. Diego García Conde; á Sargento mayor</t>
  </si>
  <si>
    <t>lorca, Ramón López; el-de Capitanes segundos á los Tenientes de las de Ceuta D-Lorenzo Bermudez , y Don Josef Molina; y el de Ayudante mayor ai Capitán segundo del Real" cuerpo de Artillería Bv Pablo Alfaró&gt; que se halla en aquellas islasPor el Ministerio de Hacienda se ha comunicado á loa Subde</t>
  </si>
  <si>
    <t>Josef Molino, Ramón</t>
  </si>
  <si>
    <t>Ramón Josef Molino</t>
  </si>
  <si>
    <t>y se ha servido nombrar Auditor de Guerra del exército y Capitanía general de la costa de Granada á D. Ramón Josef Molino. En ei batallón de infantería ligera de Voluntarios de Tarragona se ha servido S. M. promover á Subteniente de bandera al Sargento primero distinguido D. Josef Chacón. Ei Consejo,</t>
  </si>
  <si>
    <t>Josef Montaibo</t>
  </si>
  <si>
    <t>s de los Ríos, D. Francisco Calvo, D. Luis Perez del Camino, D. Gonzalo Gómez, D. Antonio Quintano, D. Josef Montaibo, D. Pedro García, Don j» an de San Llórente, D. Manuel Pardo Rivadeneyra, D. Josef de Miranda, D.. Francisco Díaz Melendez, D. Josef Aramburu, ¿.Francisco Echezarreta, D. Pablo Bu</t>
  </si>
  <si>
    <t>Josef Montero</t>
  </si>
  <si>
    <t>de la misma clase de los de caballería de cazadores de la Rey na y quinto de húsares de María Luisa D. Josef Montero y D. Josef Giraldo. Por Escribanía de Cámara y de Gobierno del Consejo se ha comunicado, con fecha de 17 de este mes, la circular siguiente. ,,Por la circular del Consejo de 28 de Jul</t>
  </si>
  <si>
    <t>caballería ligera se ha servido igualmente el Rey promover á Teniente en el de cazadores de Pavía á D. Josef Montero; y á Ayudante del de Húsares Voluntarios á D. Manuel del Corral. Para el Gobierno de la plaza de Rosas ha nombrado S. M. al Coronel D. Josef .de Gambara, Capitán de granaderos del</t>
  </si>
  <si>
    <t>, Don Josef Perez, D. Juan Arguelles, D. Miguel de Sierra, D. Joaquín dé Sierra , D. Luis Carvajal, D. Josef Montero, D. Joaquín Rafael Inza y Don Josef Quiros: en el de Valencia la Comandancia del tercer batallón al Sargento mayor del de América, graduado de Teniente Coronel, D. Ramón Pirez; y</t>
  </si>
  <si>
    <t>Josef Mor de Fuentes</t>
  </si>
  <si>
    <t>, calle de las Carretas. La Serafina, novela original, en cartas escritas de Zaragoza á Burgos, por Don Josef Mor de Fuentes: segunda edición muy aumentada. Se hallará en la librería de Castillo, frente, á S. Felipe el Real, á 6 rs. En la librería de Llera, plazuela del Angel, se vende un miserere á dúo</t>
  </si>
  <si>
    <t>Josef Morales y Galera</t>
  </si>
  <si>
    <t>igüenza, Lorca y Ronda á D. Luis Sánchez Diosdado , D. Vicente Moneada, D. Alfonso Gallego y Perez, D. Josef Morales y Galera y D. Josef Luis Noguera y.Mendez* „ Para el Gobierno del fuerte de Torremolinos ha nombrado el Rey al Capitán D. Josef Bravo, Teniente del Regimiento de infantería.de Navarra ; y para</t>
  </si>
  <si>
    <t>Josef Morales y Setien</t>
  </si>
  <si>
    <t>la Colegial de Soria,&gt; Diócesi de Osma, vacante por fallecimiento de D. Bernardino de la Puerta, á D. Josef Morales y Setien, Canónigo de la misma Colegial: para una Ración de la Metropolitana de Burgos, vacante por muerte de Don Manuel Zamema, á D. Miguel Ortiz de Rufrancos, Rector de la Universidad de</t>
  </si>
  <si>
    <t>Josef Moreno</t>
  </si>
  <si>
    <t>a en los de Irlanda, Extremadura y Ordenes Militares á los Sargentos primeros D. Miguel Chacoleti , D. Josef Moreno y D. Tomas González, y en los de Zamora y Málaga á los Cadetes Don Antonio María Navarro y D. Pedro Salgado. S. M. se ha servido promover á Subteniente de bandera en el segundo batall</t>
  </si>
  <si>
    <t>77; y con ellos han ganado los jugadores 462,842 rs. i Viage á Constantinopla en el año de 1784 por D. Josef Moreno: un tomo en¿4.° de marca mayor, adornado con viñetas, cabeceras, un mapa grande, y 24 estampas de pianos, vistas, antigüedades, trages, y otros asuntos útiles y curiosos, ¿136 rs.</t>
  </si>
  <si>
    <t>Josef Muller</t>
  </si>
  <si>
    <t>e Mella, D. Juan Novoa y Gayoso , D. Toribio Salcedo, D Francisco García Fiorez , D. Tomas Cervino, D, Josef Muller, D. Francisco Viana y Achucarro, D. Antonio Doral y Anuncibay. El Rey se ha servido nombrar Auditor de Guerra del exército y Capitanía general de la costa de Granada á D. Ramón Jo</t>
  </si>
  <si>
    <t>Josef Muro</t>
  </si>
  <si>
    <t>ga se ha servido el Rey promover á Tenientes á ios Subtenientes dé granaderos de los mismos cuerpos D. Josef Muro, D. Diego Becerra y D. Luis Perez de Ribera. ; S. M. ha nombrado Maestro Armero examinador de la Real fábrica de Placencia á D. Andrés Alberdí; y Armero de artiLLería de la plaza</t>
  </si>
  <si>
    <t>Josef Murrieta, Juan</t>
  </si>
  <si>
    <t>Juan Josef Murrieta</t>
  </si>
  <si>
    <t>ez, D. Ramón Amaya , E3. JflosefSuarez , D. Pedro del Barco, D. Pedro Nuñez, D. Manuel Kcdriggn§^&lt;» D. Juan Josef Murrieta, Don Francisco Spínola, D. Juan Ulloa., D. M-sariin Oarrichena , D. Manuel Bacaro, D. Antonio Bovadilla, D. Migu«i(li Martínez, D. Luis Lasqueti,Don Juan Latre, D. Tomas Urrecha,</t>
  </si>
  <si>
    <t>Josef Musitu</t>
  </si>
  <si>
    <t>En el Real cuerpo de Artilleria se ha dignado el Rey promover á Gefe de brigada al Capitán primero D. Josef Musitu; á Capitanes primeros á los Capitanes segundos D. César González , D. Josef Andía, Don Joaquín Osma, graduado de Teniente Coronel, D. Antonio Tejada y Otalora y D. Joaquín Cáceres</t>
  </si>
  <si>
    <t>Josef Muzquiz</t>
  </si>
  <si>
    <t>ancisco Arteága: á Cadete de número al Supernumerario D* Josef Olea , y á Supernumerario al Guardia D. Josef Muzquiz. El Rey se ha servido conceder Ayudantía en el regimiento de infantería de Uitonia al Teniente, graduado de Capitán, D. Juan Fitzgerald: Tenencias en los de Inmemorial del Rey, Va</t>
  </si>
  <si>
    <t>ericana del J^eal Cuerpo de Guardias de Corps ha nombrado el Rey Cadete de número at Supernumerario D. Josef Muzquiz, y Supernumerario al Guardia D. Julián Poveda. El Rey se ha servido conferir en el Regimiento de infantería de Valencia Ayudantías á los Tenientes de granaderos, graduados de Capi</t>
  </si>
  <si>
    <t>Josef Navarrete</t>
  </si>
  <si>
    <t>. Marcelino Sánchez Rangels : para la de Málaga, vacante por fallecimiento de D, Agustín Galindo, á D. Josef Navarrete, Capellán de honor</t>
  </si>
  <si>
    <t>Josef Navarro</t>
  </si>
  <si>
    <t>stín Bueno, Teniente y Subtenientes del regimiento de infantería de Mallorca; á D. Antonio Hurtado, D. Josef Navarro, D. Francisco Ruarte, D. Miguel Ruano, D. Juan Pablo Sebastian y D. Andrés, A rango, Subtenientes de los de Güadalaxara, Princesa , Valencia , Navarra y Granada ; á D. Tomas Solde</t>
  </si>
  <si>
    <t>Josef Niderberger</t>
  </si>
  <si>
    <t>án i D. Juan Ebneter , y al Teniente D. Melchor Niderberger; Teniente de granaderos al de fusileros D. Josef Niderberger, y Teniente de fusileros al Subteniente de granaderos D. Cárlos Peyer. S. M. se ha servido promover á Capitán segundo de las Compañías ftxas de Artillería de la plaza de Ceuta á D</t>
  </si>
  <si>
    <t>Josef Noreña</t>
  </si>
  <si>
    <t>esis de T.arazona: para otra de ia colegial de Roa, diócesis dé Osrna, vacante por fallecimiento de D. Josef Noreña , á D. Aíiguél Labrador', Racionero de la misma-: para una Ración de la propia colegial, por ascenso de D. Domingo Hor.tigilela á Canongía de la misma, á D. Matías Casado,</t>
  </si>
  <si>
    <t>Josef Novoa, Ramón</t>
  </si>
  <si>
    <t>Ramón Josef Novoa</t>
  </si>
  <si>
    <t>segundo, y Teniente de Cura del Soto de Roma: para otra de la catedral de Orense , por promoción de D. Ramón Josef Novoa á Canpngía de la misma , á D. Francisco Salgado y Araujo, Cura de la parroquia de S. Lorenzo de Cañón, en aquella diócesis; y para el Beneficio simple de Sta. María de la Barca, a</t>
  </si>
  <si>
    <t>Josef Núñez</t>
  </si>
  <si>
    <t>uin Fernandez, D. Bernardo Meruendano, D. Josef del Hoyo,D. Francisco de Murías, D. Mariano Leones, D. Josef Nuñez, D. Francisco Enrile, D. Juan Gaideano, D. Josef Burgués de Mesiessi, D. Manuel Lizarza, D. Josef Aznar y ¿.Francisco Simón Perez de Grandallana. A Alféreces de Navio los de Fraga</t>
  </si>
  <si>
    <t>Josef Olea</t>
  </si>
  <si>
    <t>a segunda á Cadete de número a! Supernumerario D. Josef de la Huerta, y á Supernumerario al Guardia D. Josef Olea. En la Compañía Flamenca del Real cuerpo de Guardias de Corps se ha servido el Rey promover á Brigadier al Subrigadier D. Pedro Du— bois : á Subrigadier ai Portaestandarte D. Pabl</t>
  </si>
  <si>
    <t>Josef Oliver</t>
  </si>
  <si>
    <t>uenca y Alcázar á D. Mariano Zorraquin,D. Miguel Antonio de Toledo y Estrada , D. Rafael de Molina, D. Josef Oliver, D. Tomas Cantero y Acosta, D. Juan Antonio Escalante, y D. Josef Antonio Quirds..,</t>
  </si>
  <si>
    <t>Josef Olózága y Travieso</t>
  </si>
  <si>
    <t>cón , D. Rafael Casa so la y ViUa.iba. En 3.a fecha. D; Luis de Córdoba y Postigo, D. Juan de Azas, D. Josef Olózága y Travieso, D. Francisco Gazcon y Molina, D. Fernando Bilbao' y Xiinenez \ D. Pedro Notar bar tolo y Bolcgria, Dgíi Antonio González de Socueva, D. Francesco Chacón y valle, D. Gerónimo Obre</t>
  </si>
  <si>
    <t>Josef Omulrian</t>
  </si>
  <si>
    <t>la comisión gubernativa de la consolidación de vales Reales, se continúa la subasta por ante el Sr. D. Josef Omulrian, Alcalde mayor de la villa* de Yepes , y oficio del número dé ella que exerce^ Alfonso Martínez^ Barquero , para la enajenación de un prado en él término y jurisdicción de la iais</t>
  </si>
  <si>
    <t>Sierramorena á D. Josef María Otero: para la de Alcalde-mayor , segundo de la ciudad de Córdoba, á D. Josef Omulrian: para la de la villa de Yepes á D. Mariano Lafuentey</t>
  </si>
  <si>
    <t>Josef Oríes</t>
  </si>
  <si>
    <t>ando Adaiúde Yárza-; al seminarista mayor Don Iñigo Ortes de Veíasco , su hermano , el gefe de sala D. Josef Oríes de . Velas&gt;co , los de la misma' clase I). Francisco Barraycua y D, Alonso Al</t>
  </si>
  <si>
    <t>Josef Ortega y Moníoy</t>
  </si>
  <si>
    <t>brar para el Arcedianato de Velez, dignidad de la Catedral de Málaga, vacante' por fallecimiento de D. Josef Ortega y Moníoy, á 0. JosefaAntónib Priego , con retención de la Canongía que obtiene en ella: paramuna Canongía de la misma Iglesia, vacante por muerte de D» Joaquín Catani, á D.- Dionisio Muñoz</t>
  </si>
  <si>
    <t>Josef Ortiz</t>
  </si>
  <si>
    <t>. , linde á oriente el barranco , a mediodía tierra de la capellanía de Manuel López , y á poniente D. Josef Ortiz, en 250 rs. Y otra de 1 2 fan., .que ántes eran 2 , y ahora se hallan incorporadas en la heredad de la Torre y sitio de Guadalix , término de esta villa , linde á oriente y norte</t>
  </si>
  <si>
    <t>Josef Ortiz de Rozas, Juan</t>
  </si>
  <si>
    <t>Juan Josef Ortiz de Rozas</t>
  </si>
  <si>
    <t>na de Charcas, vacante por fallecimiento de D. Pedro Josef Mansilla , se há servido S. M. nombrar á D. Juan Josef Ortiz de Rozas: para su Ración á D. Mariano Fvodriguez de Olmedo, y para la Media-Ración, que este dexa, á Don Francisco Borja de Saracivar, Cura en aquel arzobispado : para una Canongía de la c</t>
  </si>
  <si>
    <t>Josef Ortiz y Sanz</t>
  </si>
  <si>
    <t>tica á 12 rs. Los diez libros de arquitectura de Marco Vitruvio Polion, traducidos y comentados por D. Josef Ortiz y Sanz, Presbítero. Un tomo en folio mayor: en pasta á 200 rs. Los quatro libros de arquitectura civil de Andrés Paladio, traducidos del italiano, tomo r.° en folio mayor. Lleva 96 lámin</t>
  </si>
  <si>
    <t>Josef Ossolinzki, Conde</t>
  </si>
  <si>
    <t>Conde Josef Ossolinzki</t>
  </si>
  <si>
    <t>isfrutado el Doctor para la redacción de su obra, de la. excelente colección que tiene en Vien’a el Conde Josef Ossolinzki___El Ingeniero general de Suchtelen ha presentado á la Academia Imperial de está Corte su mapa del Imperio Ruso en 6o hojas ; se asegura que es un modelo de exactitud. El Ministro</t>
  </si>
  <si>
    <t>Josef Pacheco</t>
  </si>
  <si>
    <t>ntonio Pascual y D. Josef Armendariz; á Cadetes de número á los Supernumerarios DoiL Ignacio Mora y D. Josef Pacheco; y á Supernumerario al Guardia Doík Josef de la Huerta. Para el empleo de Teniente de Rey de la plaza de Ciudad-Rodrigo ha nombrado S. M. al Capitán de Fragata de la Real armada D</t>
  </si>
  <si>
    <t>Josef Paez</t>
  </si>
  <si>
    <t>Algarbe, octavo y noveno de línea, se ha servido el Rey promover á Alféreces á los Portaestandartes D. Josef Paez y D. Manuel Miranda; y á igual empleo en el regimiento de Españoles, sexto de húsares, al Cadete D. Juan Jalón. S. M. ha tenido á bien restablecer la plaza segunda de Director de la R</t>
  </si>
  <si>
    <t>Josef Palacio Roxo</t>
  </si>
  <si>
    <t>Francisco de Paula Caminero y D. Juan Domínguez; y en el de Murcia ai Subteniente del mismo cuerpo D. Josef Palacio Roxo. . Igualmente ha nombrado S. M* para un empleo de Alférez del regimiento del Rey, primero de cazadores, á D. Antonio Bordons, Cadete ¡del mismo cuerpo. . En el Real cuerpo de Inge</t>
  </si>
  <si>
    <t>Josef Palacio y Viana</t>
  </si>
  <si>
    <t>as Huertas, á 5 rs. en rústica y 8 en pasta. Culto de la religión católica , sacado del francés por D. Josef Palacio y Viana. Se manifiesta la idea que debe hacerse de él t y, se distinguen las dos suertes que hay de cultos interior y exterior; su necesidad en la religión, deducida de la idea que tenemo</t>
  </si>
  <si>
    <t>Josef Palomares, Manuel</t>
  </si>
  <si>
    <t>Manuel Josef Palomares</t>
  </si>
  <si>
    <t>ducirse en este ministerio , en forma de carta apologética, instructiva , edificante y curiosa, por D. Manuel Josef Palomares: 2.a edición. Se hallará en la librería de la viuda de Quiroga ¿ hijo, calle de las Carretas, y de Corral, calle de los Tintes. Dictamen del Intendente de Marina D. Juan Antonio H</t>
  </si>
  <si>
    <t>Josef Pantaleon de Huertas</t>
  </si>
  <si>
    <t>-Real, diócesis de Toledo, y de Sta.María del lugar de Gallegos,en la de Patencia, por dimisión de. D. Josef Pantaleon de Huertas, á O. Juan Manuel de Huertas. Por resolución , á consulta de la Cámara, se ha servido el Rey mandar señalar á los que fueren provistos en Dignidades y otras quaiesquiera Prebendas</t>
  </si>
  <si>
    <t>Josef Pardo</t>
  </si>
  <si>
    <t>á Capitanes al Ayudante D. Manuel Hermosilla, y al Teniente D. Jayme Linart: á Ayudante al Teniente D. Josef Pardo: á Tenientes de granaderos á los de fusileros D. Francisco Gerónimo García y D. Mateo de la Dehesa: á Tenientes á los Subtenientes de granaderos D. Josef Aristizabal y D. Nicolás</t>
  </si>
  <si>
    <t>Josef Pareja</t>
  </si>
  <si>
    <t>;Ci{zco* vacante por promoción de D. Josef de la Portilla á plaza togada, def Consejo de Indias , á D. Josef Pareja, Fiscal de lo civil de la de Liína.' Finalmente, atendiendo el Rey al mérito y circunstancias del Teniente Coronel D. Felipe Sancho Dávila, caballero del orden de Mon'tesa, vecino</t>
  </si>
  <si>
    <t>Josef Pasalagua</t>
  </si>
  <si>
    <t>iguel Montemayor, D. Antonio Ausejo, D. Martin de Mendoza, D. Felipe Ibargiien, D. Francisco Solís, D. Josef Pasalagua, D. Diego de Aguirre, D. Vicente Climent, D. Juan Albornoz, D. Joaquin de Toledo, D. Joaquin Leones, D. Julián Leones, D. Pedro Rato Cisneros, D. Justo Salafranca, D. Baltasar Cor</t>
  </si>
  <si>
    <t>Josef Pedrosa</t>
  </si>
  <si>
    <t>.. ...... 241-25. 6.* DFL 2.° Manuel Galiciano................ La Guardia...,.....-....... ■ ÚI..2C D. Josef Pedrosa , Subte­ Gabriel Moreno. Peraiera— I4I-25 niente................................ Retirado en Madrid...... 484.. 4 Francisco Tomas.................. Aguilar de Terra....... :- :141</t>
  </si>
  <si>
    <t>Josef Peirot</t>
  </si>
  <si>
    <t>rios á D.-Rarntin Guillen, D. Juan Bautista Veza, D. Joaquín Hernández y D. Francisco Clemente: y á D. Josef Peirot y D. Fernando Bermudez los s extraordinarios , que han costeado el Marques de Beniel y D. Ambrosio Alvarez, habiendo merecido los mayores elogios por su aplicación y ze|p el Maes~ tro</t>
  </si>
  <si>
    <t>Josef Peña Carrillo</t>
  </si>
  <si>
    <t>s, á los Subtenientes D. Josef María de Andrade, Don Joaquín Bas, D. Juan Yañez, D. Mateo Collinghs,D. Josef Peña Carrillo, D. Antonio Designi y D. Juan Medina: y Subtenencias de bandera en los de España, Burgos, Uitonia y Borbon , á los Sargentos primeros D. Fernando Carrasco , D. Ignacio Bernardini</t>
  </si>
  <si>
    <t>Josef Pequera</t>
  </si>
  <si>
    <t>iembre. S. M. se ha servido nombrar para una Canongía de la Catedral de faca, vacante por muerte de D. Josef Pequera, á D. Joaquín de Guzman y Nolivos, Racionero mas antiguo de ella. El R ey se ha servido conceder en el Regimiento de infantería de la Goror a Tenencias á los Subtenientes D. Isido</t>
  </si>
  <si>
    <t>Josef Pereyra</t>
  </si>
  <si>
    <t>s, D. Pedro Rato Cisneros, D. Justo Salafranca, D. Baltasar Cornelias, D. Josef Rodríguez Truxillo, D. Josef Pereyra, D. Santiago Mazarredo, D. Josef Mazarredo, D. Juan de’Vera, D. Pedro de Salazar, D. Felipe Esteller,, D. Josef del Viso, D. Jacinto Marcaida, D. Juan Bautista Lanz y Don; Francis</t>
  </si>
  <si>
    <t>Josef Pérez</t>
  </si>
  <si>
    <t>rimeros D. Tomas Leal, D. Melchor Fernandez y D. Sebastian Pereyra; y á los Cadetes D. Félix Arcos, Don Josef Perez, D. Juan Arguelles, D. Miguel de Sierra, D. Joaquín dé Sierra , D. Luis Carvajal, D. Josef Montero, D. Joaquín Rafael Inza y Don Josef Quiros: en el de Valencia la Comandancia del</t>
  </si>
  <si>
    <t>Josef Pérez Iñigo</t>
  </si>
  <si>
    <t>?j9 por muerte de D. Manuel Fernandez Reyero, á D. Josef Perez Iñigo, segundo Capellán de la compañía de caballeros Cadetes del cuerpo de Artillería establecida en Segovia. El Rey se ha servido nombrar Subtenientes del Real Cuerpo de Ingenieros del</t>
  </si>
  <si>
    <t>Josef Pico, Ignacio</t>
  </si>
  <si>
    <t>Ignacio Josef Pico</t>
  </si>
  <si>
    <t>, Capellán mayor y Vicario de exército en aquella ciudad: para otra de la metropolitana de México á D. Ignacio Josef Pico ; y para su Media-Ración á D. Juan Cienfuegos, Cura de la parroquia de S. Sebastian de la misma ciudad. También se ha dignado el Rey nombrar para una plaza de Oidor de la Audienci</t>
  </si>
  <si>
    <t>Josef Piñedo</t>
  </si>
  <si>
    <t>el.campo, de 8 fan. , linde á oriente Juan López Recio, á.mediodía el camino de Fresno,,á poniente D. Josef Piñedo, vecino ae Madrid , y á la sierra capilla de S. Pedro de-Alcalá , á 700 rs. Otra junto á la crmita.de Ntra. Sra. de la Concepción, de 2, fan. , linde á?oriente el arroyo, á mediod</t>
  </si>
  <si>
    <t>Josef Pintón</t>
  </si>
  <si>
    <t>histórico de la Religión: 2 tomos en 8.°, á 14 rs. en pergamino, 20 en pasta, y 48 en tafilete. Por D. Josef Pintón, que mereció lo recomendase el Consejo en el año de 1771 para uso de las escuelas del Reyno, y van hechas 17 ediciones. Extracto de dicho Compendio, parauso de los niños de primer</t>
  </si>
  <si>
    <t>Josef Polero y Toledo</t>
  </si>
  <si>
    <t>; M. promover á una Canongía de gracia, vacante en la catedral de Antequera de Oaxaca por muerte de D. Josef Polero y Toledo, á D. Luis de Cerpa Manrique, que lo era de la deVa, lladolid de Mechoacan; y ha nombrado para otra Canongía de merced de la Concepción de Chile, vacante por fallecimiento de D. J</t>
  </si>
  <si>
    <t>Josef Portillo</t>
  </si>
  <si>
    <t>Sargento mayor del tercero, graduado de Teniente Coronel; á Sargento mayor dél tercer regimiento á D. Josef Portillo, Capitán primero del primero , graduado de Teniente Coronel; á Capitán primero del primer regimiento á D. Pelayo Correa, Capitán segundo del tercero, y á Capitán segundo del terce</t>
  </si>
  <si>
    <t>Josef Potau</t>
  </si>
  <si>
    <t>de Aldovera, jurisdicción de la viila de lllana, en el Arzobispado de Toledo, vacante por muerte de D. Josef Potau, á Don Juan J&lt;»'-ef Martínez Toledano; y para el Préstamo de Bárcena de Bureba, en el de Burgos, vacante por fallecimiento de D. Andrés Martínez, á D. Rayinundo Gómez de Robles. E</t>
  </si>
  <si>
    <t>Josef Power</t>
  </si>
  <si>
    <t>rimero, segundo y quarto Ayudantes :á este empleo á los Capitanes segundos D. Francisco Valderrama, D. Josef Power.y D. Josef Viñals: i. Capitanes segundos ,á los Tenientes D. Francisco Cl.os, D. Tomas Corrochano, D,. Rafael Villar,, graduado de Capitán, D. Bartolomé Lison, de granaderos, D. J</t>
  </si>
  <si>
    <t>Josef Prats y Pelegn</t>
  </si>
  <si>
    <t>de Tarragona .vacante^por promoción de D. Félix Amar á la Abadía del Real sitio de S. Ildefonso, a D. Josef Prats y Pelegn: para otra-Canongía de la colegial de Alean.*, diócesis de Zaragoza, a Don Tosef Blanc, Cura de Redueña, en el arzobispado de Toledo,-, para un Beneficio de la parroquia de' Figue</t>
  </si>
  <si>
    <t>Josef Primo de Ribera</t>
  </si>
  <si>
    <t>ernando Becerra, D. Rafkl Bovadillo, D. Josef Mendivil, I). Antonio Saavedra, D. Vicente Vallijcel, D. Josef Primo de Ribera,</t>
  </si>
  <si>
    <t>Josef Pujol y Palmer</t>
  </si>
  <si>
    <t>a; y para un Beneficio de la metropolitana de Tarragona, vacante por muerte de D. Tablo Espinach, á D. Josef Pujol y Palmer ola. Ei Rey se ha servido conceder en los regimientos de infantería de</t>
  </si>
  <si>
    <t>Josef Pvevanger</t>
  </si>
  <si>
    <t>aduado de Capitán, D. Felipe Cerio: Tenencia en el de Suizos de Reding al Subteniente de granaderos D. Josef Pvevanger; y el empleo de Capellán, en el ambulante de Ruttman, á Fr. Tomas Boyer. También ha concedido S. M. el grado de Capitán de infantería á Don Agustín Cusa, Ayudante del regimiento s</t>
  </si>
  <si>
    <t>Josef Querencia</t>
  </si>
  <si>
    <t>141-25 Josef Querencia.................... Navalucillos.............. i—. 141-25 Domingo Perez................... Ami Alonso.................. 141-25 Pablo Gutiérrez.................</t>
  </si>
  <si>
    <t>Josef Quiroga</t>
  </si>
  <si>
    <t>tiago Echapparret, Don Cárlos Mauduit, D. Manuel Zulaetai) IK Antonio Berraondo, D. Juan del Busto, D. Josef Quiroga, D. Dieggo* Venegas, D. Ventura Gutiérrez de Bustillo, D. Josef Roso, D. Joaquínu Aróstegui, D. Joaquín Ibañez de Corvera, D* Josef Valdasano, Dj, Manuel de Cañas, D. Josef del Ca</t>
  </si>
  <si>
    <t>Josef Radon</t>
  </si>
  <si>
    <t>strucción teórica de artífices de Instrumentos astronómicos y físicos: ¡dos tomos en 4.0 mayor, por D. Josef Radon, i 32 rs. cada uno en pasta. Én el i.° se incluye la Aritmética, Ja Geometría, algunas noticias de Dinámica, y la Astronomía: el 2.0 comprehende la Mecánica. Tratado de Aritmética</t>
  </si>
  <si>
    <t>Josef Rafael Laso de la Vega</t>
  </si>
  <si>
    <t>n el Real colegio de S. Carlos de dicha ciudad; y para lá Doctoral de la metropolitana de Sta. Fe á D. Josef Rafael Laso de la Vega. En el batallón veterano de infantería de Caracas se ha dignado S. M. conferir el empleo de Capitán al Ayudante mayor de dicho batallón Don Melchor de Sotnarriba; esta resulta al</t>
  </si>
  <si>
    <t>Josef Ramírez</t>
  </si>
  <si>
    <t>otro de la parroquial del lugar de la Adrada, en el obispado de Avila, vacante por fallecimiento de D. Josef Ramírez, y no haber tomado posesión de él D. Pedro Sánchez Llórente, á quien S. M. nombró por decreto de 27 de Marzo del año último , á D. Pedro Juárez , Capellán de ánimas de la villa de</t>
  </si>
  <si>
    <t>Josef Ramón de Huerta</t>
  </si>
  <si>
    <t>eral de 20 de Diciembre próximo pasado, ha adjudicado una medalla académica de cobre á su individuo D. Josef Ramón de Huerta, en premio del particular talento y aplicación con que en ei discurso dei año ha desempeñado sus exercicios literarios. Por Escribanía de Cámara y de Gobierno del Consejo Real se</t>
  </si>
  <si>
    <t>Josef Recacha</t>
  </si>
  <si>
    <t>ha servido conceder en el Regimientode infantería de Valencia Tenencia al Subteniente de granaderos D. Josef Recacha: en el de Cantabria Ayudantía al Teniente, graduado de Capitán, D. Jacinto García: en el de América Tenencia ál Subteniente de granaderos D. Juan Fernandez : en el de Extremadura</t>
  </si>
  <si>
    <t>Josef Redondo GaIbe</t>
  </si>
  <si>
    <t>ntes. Madrid ij de Julio. El Rey se ha servido nombrar para una Canongía de la catedral de Teruel á D. Josef Redondo GaIbe,Cura Teniente mayor de la parroquia de la Real Casa de Campo: para un Beneficio residencial de la parroquial de la villa de Prats de Rey, diócesi de Vique, vacante por fallecimien</t>
  </si>
  <si>
    <t>Josef Revest y Lassala</t>
  </si>
  <si>
    <t>a Corona y en los de Murcia y Princesa á los Subtenientes D. Vicente Ximeno , graduado de Teniente, D. Josef Revest y Lassala, D. Manuel de Torres, D.Diego Marques,D. Juan Diego Perez y D. Manuel Sánchez; y Subtenencias de bandera en el de Extremadura al Sargento primero de granaderos D. Vicente Flores,</t>
  </si>
  <si>
    <t>Josef Reynoso, Félix</t>
  </si>
  <si>
    <t>Félix Josef Reynoso</t>
  </si>
  <si>
    <t>oema en dos cantos, premiado en competencia por una Academia de letras humanas de Sevilla: su autor D. Félix Josef Reynoso. No es esta aquella miserable edición que se anunció en gazeta de 13 de Diciembre del año pasado, sin consultar á su autor, llena de erratas ortográficas y de adulteraciones de le</t>
  </si>
  <si>
    <t>Josef Rigual</t>
  </si>
  <si>
    <t>sado con las correspondencias del Real servicio y público. Oficio de la Semana Santa, traducido por D. Josef Rigual: un tomo en 8.°, á I 2 rs. en pasta y 36 en tafilete. Praeparatio ad Missam, et gratiarum actio, cui accedunt Rubricac Missalis, ípsarumque significationes, nec non ea, quae omitt</t>
  </si>
  <si>
    <t>parvo de nuestra Señora según el Breviario Romano , traducido al castellano con notas por el mismo D. Josef Rigual: en 8.° á 7 rs. en pasta ; y unido con el de Difuntos á 12 rs, en pasta. Se hallarán en el despacho de la Imprenta Real. Para el nuevo remate de una casa sita en la calle del Prín</t>
  </si>
  <si>
    <t>ez: 2 tomos en 8.% á 20 rs. en pasta común, y 26 ios finos. Exeréício quotidiano del cristiano, por D. Josef Rigual: un tomo en 12.% á 4 rs. en pasta. Contiene una preparación y Jfiacimiento de gracias para la confesión y comunión, la explicación de la Misa, y el modo de oirla con atención y de</t>
  </si>
  <si>
    <t>IOIO por el referido D. Josef Rigual: en 8.°, á 5 rs. en pasta. Se hallarán en el despacha de la Imprenta Real. Con Real facultad se han mandado sacar á pública subasta, por el término de 30 días, que empezáron á cor</t>
  </si>
  <si>
    <t>Josef Rodríguez de Castro</t>
  </si>
  <si>
    <t>io Juan Sánchez de Torres. Biblioteca Española: 2 tomos en folio, á 40 rs. cada uno en rústica, por Don Josef Rodríguez de Castro. Paráfrasis Arabe de la tabla de Cebes,traducida é ilustrada con notas por Don Pablo Lozano: un tomo en 4.0 marquilla, á 45 rs. en pasta. Las obras de Xenofonte Ateniense, traduci</t>
  </si>
  <si>
    <t>Josef Rodríguez del Castillo</t>
  </si>
  <si>
    <t>y para el Beneficio de la villa de Villalar, en el obispado de Zamora* vacante por fallecimiento de D. Josef Rodríguez del Castillo, á D. Andrés Diez y Muñoz, con carga de residencia, y de alternar con el Párroco en su ministerio. Por Real decreto de 2 de Febrero de 1803 tuvo S. M. á bien designar la Contadurí</t>
  </si>
  <si>
    <t>Josef Rodríguez Truxillo</t>
  </si>
  <si>
    <t>aquin Leones, D. Julián Leones, D. Pedro Rato Cisneros, D. Justo Salafranca, D. Baltasar Cornelias, D. Josef Rodríguez Truxillo, D. Josef Pereyra, D. Santiago Mazarredo, D. Josef Mazarredo, D. Juan de’Vera, D. Pedro de Salazar, D. Felipe Esteller,, D. Josef del Viso, D. Jacinto Marcaida, D. Juan Bautista L</t>
  </si>
  <si>
    <t>Josef Román</t>
  </si>
  <si>
    <t>los Regimientos de infantería del Rey , León y primero de Voluntarios de Aragón D. Quintín Velasco, D. Josef Román y D. Félix Arbizu y Alava; y á los de la misma clase de los de caballería de cazadores de la Rey na y quinto de húsares de María Luisa D. Josef Montero y D. Josef Giraldo. Por Escriba</t>
  </si>
  <si>
    <t>Josef Romero</t>
  </si>
  <si>
    <t>arez, Comandante del tercer batallón del de Valencia: Compañía en el de Córdoba á su Caballero Page D. Josef Romero;y Ayudantía al Teniente, graduado de Capitán, Don Francisco Olona: Tenencia en ei de Aragón al Subteniente de granaderos D.Matías Hernández; y el empleo de Capitán segundo en el b</t>
  </si>
  <si>
    <t>Josef Romo</t>
  </si>
  <si>
    <t>lase , que consistía en el tratado de la huerta de Boutelou, se distribuyó á Don Mariano Santander, D. Josef Romo, D. Tomas Pereda y D. Antonio Corde ro. En 1a escuela de costura, que dirige Doña Gregoria Bergaño, se distribuyó el primer premio, que consiste en una medalla de plata, á Juana L</t>
  </si>
  <si>
    <t>Josef Roso</t>
  </si>
  <si>
    <t>rraondo, D. Juan del Busto, D. Josef Quiroga, D. Dieggo* Venegas, D. Ventura Gutiérrez de Bustillo, D. Josef Roso, D. Joaquínu Aróstegui, D. Joaquín Ibañez de Corvera, D* Josef Valdasano, Dj, Manuel de Cañas, D. Josef del Castillo, D. Manuel de Palacio^11). JAcanta Romarate, D. Josef Corones,</t>
  </si>
  <si>
    <t>Josef Roxas</t>
  </si>
  <si>
    <t>parroquial de Villafer, en la Vicaría de S. Millan, en la diócesis de Oviedo, por fallecimiento de D. Josef Roxas , á D. Francisco de Riglos y Ventura : para el Beneficio Préstamo del lugar de Pozanco, en la diócesis de Avila, vacante por muerte de D. Eulogio Argiielles, á D. Pedro Sánchez La</t>
  </si>
  <si>
    <t>JoSef Rubio</t>
  </si>
  <si>
    <t>osee el Sr.. Marques de Salas, y se vende junta ó separada. Quien quisiere tratar de ajuste acuda á D. JoSef Rubio, Apoderado de dicho Señor y habilitado especial para dicha venta, que vive calle de Valverde, núm. 41, qaarto principal. Pruebas de ser contrario á la práctica de todas las nacion</t>
  </si>
  <si>
    <t>Josef Ruiz Salinas</t>
  </si>
  <si>
    <t>r para una Canongia de la catedral de Jaca , en lugar y por fallecimiento de D. Mariano Avellana, a D. Josef Ruiz Salinas, Racionero de ellar para el Arcedianaro mular de la catedral de Cádiz, vacante por fallecimiento &lt;feD. Rodrigo Caballero , a D. Manuel Valentín de Nicolás: para una Media-Ración d</t>
  </si>
  <si>
    <t>Josef Salazar</t>
  </si>
  <si>
    <t>olon: Cornelio Tácito con la traducción ce Coloma, de la imprenta Real, 4 tomos en 4.0 mayor. 2.0 : D. Josef Salazar : Salustio cum notis variorum—^ Poética. i.° : D. Diego Colon: Cervantes,Qnixote , edición grande de la Academia, 4 tomos en folio. 2.0: D. Josef Cacho: Virgilio cum notis varioru</t>
  </si>
  <si>
    <t>Josef Salgado</t>
  </si>
  <si>
    <t>Regimiento de Milicias Provinciales disciplinadas de dragones de Lima se ha dignado S. M. nombrar á D. Josef Salgado y D. Pedro Sánchez Baamonde, Alféreces veteranos Comandantes de Asamblea de los partidos de Nasca y Lambayeque: para el empleo veterano de las quatro compañías sueltas de Milicias dis</t>
  </si>
  <si>
    <t>Josef San Miguel y Mateos</t>
  </si>
  <si>
    <t>, en el de Mallorca á Subtenientes de bandera al Sargento primero D. Julián Ibarra, y á les Cadetes D. Josef San Miguel y Mateos y D. Miguel de Artola; y en el batallón de Voluntarios de Campomayor á Teniente aL Subteniente D. Mariano Villanova. La Real Academia del Derecho Español, en junta de 14 del corriente</t>
  </si>
  <si>
    <t>Josef Sánchez</t>
  </si>
  <si>
    <t>io5i Juan Chacón; y en la de Almería Subtenencia al Sargento D. Josef Sánchez. En atención á los méritos y servicios de D. Josef Antonio de Marti Creus y Cortés, ciudadano honrado de Barcelona, y Regidor del Ayuntamiento de la misma ciudad, se ha servido S.</t>
  </si>
  <si>
    <t>Josef Sánchez Boado y Reguera</t>
  </si>
  <si>
    <t>cación y mérito, á los caballeros Cadetes del Real colegio militar de Segovia D. Josef Dalp y Rosa, D. Josef Sánchez Boado y Reguera, D. Francisco Mena y Ferran, D. Luis *Lardizabal y Montoya, D. Josef Medrano y Treviño, D. Joaquin Escario y Carrasco, D. Joaquin Vivanco y Yun , D. Pedro Ortiz de Zarate y Ara ,</t>
  </si>
  <si>
    <t>Josef Santa Cruz</t>
  </si>
  <si>
    <t>del exército se ha servido el Re» promover á Sargentos mayores de brigada á los Capitanes primeros Don Josef Santa Cruz y D. Josef Falck: á Capitanes primeros á los segundos D. Felipe Montes y D. Manuel Oterwin: á Ayudantes primeros del regimiento Real de Zapadores á D. Felipe Lacorte y D. Alexandro Pa</t>
  </si>
  <si>
    <t>Josef Santiago Arias de Saavedra</t>
  </si>
  <si>
    <t>e y Ara , D. Juan Bravo de Rivero, D. Josef González de Merino, D. Bernardo Gil de Ledesma y Seix , D. Josef Santiago Arias de Saavedra, Don Ignacio de Cárdenas y Cárdenas, D. Juan Loriga y Reguera, D. [oaquin Aguado y Cañas , D. Ramón Palacio y San Cristóbal, D. Mateo Hernández de Urcullo, D. Antonio del Riosoto</t>
  </si>
  <si>
    <t>Josef Santiago Rodríguez</t>
  </si>
  <si>
    <t>se.ha. servido nombrar para una Ración de la catedral de Santiago de Chile, vacante por ascenso, de D. Josef Santiago Rodríguez á la Canongía* Doctoral de ella, á D. Francisco Xavier-de * Palo mera, Cura del pueblo dé Valparaíso* El bergantín correo de Ja Real armada,nombrado el Príncipe de la Paz, salió d</t>
  </si>
  <si>
    <t>Josef Santos Capuano</t>
  </si>
  <si>
    <t>sión y muerte de Jesucristo nuestro Redentor, según los santos evangelios y doctores ascéticos, por D. Josef Santos Capuano. Se hallará con las demas obras del autor en casa de su viuda, junto á la iglesia de S. Marcos; en la librería de Escribano, y en el puesto del diario , carrera de S. Gerónimo, á</t>
  </si>
  <si>
    <t>Josef Saravia</t>
  </si>
  <si>
    <t>res; á Capitanes segundos á los Tenientes Don Manuel del Pino, D. Felipe Luengo, D. Manuel Bequer , D. Josef Saravia y D. Joaquín Góngora, y á Tenientes á los Subtenientes D. Bartolomé Gutiérrez, D. Francisco Campo Redondo, D. Antonio Rodriguez de Toro, D. Amadeo de Mora, D. ídatias Moñino y D. Luis</t>
  </si>
  <si>
    <t>Josef Sarralde</t>
  </si>
  <si>
    <t>egado al de húsares Voluntarios: áTejientes en los del ReyyBorbon y Santiago á D. Miguel de Corpas, Don Josef Sarralde, D. Pedro Rodríguez y D. Francisco Serrano: á Alférez en él de Farnesio á D. Josef Fernandez de Castro, Portaestandarte del</t>
  </si>
  <si>
    <t>Josef Sauri</t>
  </si>
  <si>
    <t>Villas , en la isla de Cuba , á Capitán de granaderos al de fusileros D. Josef Crespo: á Capitán á D. Josef Sauri, Subteniente de granaderos: á esta resulta al de fusileros D. Joaquín Vigil; y á Subteniente de bandera al Cadete D. Juan Fernandez de Lara : y en el batallón de la misma clase de</t>
  </si>
  <si>
    <t>Josef Schurmañn</t>
  </si>
  <si>
    <t>l Teniente O. Felipe Froette; y en el de Reding á Subtenientes á los Cadetes D. Francisco Reding, y Don Josef Schurmañn. ' *.»'•* • ! ♦ ; • E-.u En el Real cuerpode^A&amp;íHéría ge ha servido el* Rey promover á Témidnte Coronel al-Gefé dé Brigada D. Juan Munarriz; á: Gefé de Brigada ai Capítsn; primero</t>
  </si>
  <si>
    <t>Josef SegovH</t>
  </si>
  <si>
    <t>s D. Josef Vfcllaamih Tenencias de fusileros en los de Sigiienza , Laredo y Jae» á ios Subtenientes D. Josef SegovH, D. Josef Colina ViUairueva y D. Antonio Barrionuevo; y Subtenencia de bandera en los de Chinchilla, Avila y Santiago al; Subteniente agregado Dv Antonio Lope» del Castillo * á I&gt;</t>
  </si>
  <si>
    <t>Josef Senosien</t>
  </si>
  <si>
    <t>............ 141-25 Josef Senosien...................... Morabal.............................. 14 Blas López............................ S. Bartolomé de las Abier­ Ignacio García..................... Puebl</t>
  </si>
  <si>
    <t>Josef Sierra</t>
  </si>
  <si>
    <t>batallen de infantería fixo de Veracruz se ha servido el Rey promover á Capítan al Ayudante primero D. Josef Sierra; á Ayudante primero al Teniente de cazadores D. Diego Antonio Sanchezj á Teniente de cazadores al de fusileros D. Manuel Perez; á Tenientes á los Subtenientes D. Juan de Arguelles</t>
  </si>
  <si>
    <t>........... 141..25 Josef Sierra.......................... Albanedo......................... 141-25 Lucas Cardona........ Villar del Saco............... 141-25 Francisco Soleda..................</t>
  </si>
  <si>
    <t>Josef Soler</t>
  </si>
  <si>
    <t>...... 141-25 Josef Soler............................ Bonifico........................... 141..25 Agustin Chamar................. . Moelo............................ 141-25 Anselino'Villa................</t>
  </si>
  <si>
    <t>Josef Solórzano</t>
  </si>
  <si>
    <t>apitau de Fragata D. Juan Josef Varela , herido el Guardia Marina D. Julio Ponce, el segundo Piloto D. Josef Solórzano , el Pilotín D. Antonio Rodríguez, y otros varios individuos, arriamos la bandera , quando consideramos que quedaba ya bien puesto el honor de las armas del Rey, y que el combate</t>
  </si>
  <si>
    <t>Josef Suárez</t>
  </si>
  <si>
    <t>l regimiento de infantería de América -se ha servido S. Mi pror mover á: Subtenientes á los-Cadetes D. Josef Suarez , D. Carlos-Vidal y D. Pedro Regalado Loy? al*Soldado distinguido D. Liborio González , y al Sargento primero D. Antonio Martínez de León., También se ha servido S. M. nombrar .Ga</t>
  </si>
  <si>
    <t>Josef Tellez</t>
  </si>
  <si>
    <t>es , donde se manifestará la certificación que ha dado de las mismas obras y su coste el arquitecto D. Josef Tellez, que las ha reconocido; y admitirán las que se hiciesen siendo arregladas en el término de 20 dias, por que se han mandado subastar. Compendio de la Historia universal: quaderno 3</t>
  </si>
  <si>
    <t>Josef Tirado</t>
  </si>
  <si>
    <t>niente de granaderos D. Juan Fernandez : en el de Extremadura Tenencia al Subteniente de granaderos D. Josef Tirado: en el de Ordenes Militares Subtenencias de bandera al Sargento primero D. Josef Doblas y al Cadete D. Carlos Diez Bulnes ; y en los de Voluntarios de Estado, Voluntarios de lz Co</t>
  </si>
  <si>
    <t>Josef Torres</t>
  </si>
  <si>
    <t>y de Campomayor, al Ayudante, graduado de Capitán, D. Manuel Vallecilio, y á los Capitanes segundos Don Josef Torres y D. Juan Rafael Lasala. S. M. se ha servido conferir la Comandancia del tercer batallón del Regimiento de infantería de la Corona al Sargento mayor del de Málaga, graduado de Tenient</t>
  </si>
  <si>
    <t>Josef Ureta</t>
  </si>
  <si>
    <t>entes del propio; á Subteniente de granaderos á D. F rancisco Cavero, y á Subtenientes de bandera á D. Josef Ureta y D. Josef Moreno, Cadete y Sargento del expresado Cuerpo. El Rey se ha servido nombrar para la plaza de Regente de la Real Audiencia de México, vacante por fallecimiento de D. Baltas</t>
  </si>
  <si>
    <t>Josef Valdasano</t>
  </si>
  <si>
    <t>e todos eran acreedores á premio; pero les cupo eii suerte á Don Mariano Molina, D. Josef Alamillo, D. Josef Valdasano y D. Rafael Suarez: estos distintivos de las indicadas aplicaciones, y para estímulo de los demas, se les colocó en el pecho; practicándose lo mismo con la quinta y mayor de las menci</t>
  </si>
  <si>
    <t>Josef Valdés</t>
  </si>
  <si>
    <t>210 resultado vacante en el mismo Tribunal por fallecimiento de D. Josef Valdés , á D. Hermenegildo Rodríguez de Ribera, Alcalde del crimen mas antiguo; y para esta resulta á D. Antonio Blasco. En América. El Rey se ha servido promover á Subteniente de bander</t>
  </si>
  <si>
    <t>Josef Valdivieso</t>
  </si>
  <si>
    <t>a de Saracivar, Cura en aquel arzobispado : para una Canongía de la catedral de Truxiilo del Perú á D. Josef Valdivieso; y para la Ración que este dexa á D. Josef Cabello, Cura de Zelendin en aquel obispado. Por el Ministerio de Hacienda se ha comunicado, con fecha de 25 de Abril, la Real orden sig</t>
  </si>
  <si>
    <t>Josef Vallugera y Núñez</t>
  </si>
  <si>
    <t>capital Villarcayo, á D. Juan Cid y Vázquez: para la Vara de Alcalde mayor de la villa de Lezuza á D. Josef Vallugera y Nuñez: para la de Brihnega á D. Antonio Abad Ibañez ; y para la de la Seca á D. Ramón Alonso de Soto. Habiendo conferido S. M. á D. Martin de Garay la Intendencia de la provincia de Mur</t>
  </si>
  <si>
    <t>Josef Várela</t>
  </si>
  <si>
    <t>, vacante por promoción de D. Francisco de Paula Lison á una Ración de la Catedral de Valladolid, á Don Josef Várela, Cura de S. Salvador de Mourisco en dicha Diócesi; y para un Beneficio simple servidero de la villa de Arjona, en el Obispado de Jaén, vacante por fallecimiento de D. Francisco Iz</t>
  </si>
  <si>
    <t>Josef Varela, Juan</t>
  </si>
  <si>
    <t>Juan Josef Varela</t>
  </si>
  <si>
    <t>ejo de la fragata, haciendo esta un .agua considerable , muerto su Comandante el Capitau de Fragata D. Juan Josef Varela , herido el Guardia Marina D. Julio Ponce, el segundo Piloto D. Josef Solórzano , el Pilotín D. Antonio Rodríguez, y otros varios individuos, arriamos la bandera , quando consider</t>
  </si>
  <si>
    <t>Josef Vázquez</t>
  </si>
  <si>
    <t>s son bien conocidos por los amantes de Jas bellas artes : está grabado al estilo de Bartolozzi por D. Josef Vázquez, de la Real Academia de S. Fernando. Se hallará con el Ecce-Homo, Mater dolorosa y otras estampas grabadas por D. Bartolomé Vázquez, por el mismo estilo, en las librerías de Ramos</t>
  </si>
  <si>
    <t>, uno de los dos actuales primeros Pintores de S. M., dibuxada por D. Asensio Chulía, y grabada por D. Josef Vázquez, Académico de mérito de la Real Academia de S. Fernando. Se hallará en las librerías de Escribano, calle de las Carretas, y de Ramos, carrera de S. Gerónimo. SUPLEMENTO</t>
  </si>
  <si>
    <t>Josef Velarde</t>
  </si>
  <si>
    <t>ba, y D. Francisco Marti: á Capitanes primeros á los Capitanes segundos Don Juan Francisco Azpiroz, D. Josef Velarde,y D. Joaquín Grandona;y á Capitanes segundos á los Tenientes D. Josef Castellar, D. Pedro Díaz de Ribera , y D. Benito Irazabal.. S*. M.. se. ha servido nombrar para- una Tenencia</t>
  </si>
  <si>
    <t>Josef Velazquez, Luis</t>
  </si>
  <si>
    <t>Luis Josef Velazquez</t>
  </si>
  <si>
    <t>ada de los romanos: sacadas únicamente de los escritores originales y monumentos contemporáneos por D. Luis Josef Velazquez : un tomo en 4.0 Se hallará en la librería de Pcrez, calle de las Carretas, á 8 rs. en rústica y 1 2 en pasta. Historia de las rentas de la Iglesia de España desde su fundación ha</t>
  </si>
  <si>
    <t>Josef Vetes</t>
  </si>
  <si>
    <t>141-25 Josef Vetes........................... Esposa................................ 14 Sebastian Bornes................. Villa rubia............... 141-25 Matías Gjrcia.....</t>
  </si>
  <si>
    <t>Josef Vfcllaamih Tenencias</t>
  </si>
  <si>
    <t>rovinciales ha conferido el Rey la Tenencia de granaderos del de Plasencia al Teniente de fusileros D. Josef Vfcllaamih Tenencias de fusileros en los de Sigiienza , Laredo y Jae» á ios Subtenientes D. Josef SegovH, D. Josef Colina ViUairueva y D. Antonio Barrionuevo; y Subtenencia de bandera en los de Chinchill</t>
  </si>
  <si>
    <t>Josef Vicente de la Madrid</t>
  </si>
  <si>
    <t>imos Sres. D. Manuel Cayetano Muñoz, Obispo de Licópolis , y auxiliar del arzobispado de Sevilla, y D. Josef Vicente de la Madrid, Obispo de Málaga , y habiendo sido su. padrino el limo. Cabildo eclesiástico de la ciudad de Córdoba. El dia &amp; deqMarzo último.falleció en;5£aragoza á los 53 años de edad, lfz il</t>
  </si>
  <si>
    <t>Josef Vicente Morales</t>
  </si>
  <si>
    <t>le de ios Autores, frente á la casa de Eórnos, junto al arco de id plazuela de Palacios én Toledo á D. Josef Vicente Morales, cura de ¡S. ¿Justo; y eft Yepes á los presbíteros D.'Manuel Facundo del Aguila y D.GabriélÁlbnsdj Lope** 5 : ‘ ' Qualquiera persona que tenga derecho á los bienes del Sr. D. Toma</t>
  </si>
  <si>
    <t>Josef Victnte de Arrióla</t>
  </si>
  <si>
    <t>A, , . , t Asimismo ha nombrado el Rey para la V ara de Alcalde mayor de la villa de Dos-Barrios á D. Josef Victnte de Arrióla: para la de Azuaga á D. Carlos Guerrero, ambas de segunda clase: para la de Uclés á Don Josef Martínez del Corro: para la del Toboso á D. Nicolás Velazquez Zurita, estas de primer</t>
  </si>
  <si>
    <t>Josef Victoriano Gómez</t>
  </si>
  <si>
    <t>méritos, según se expresa en el referido capítulo de. la ordenanza, 33 -Dr. D. Josef Victoriano Gómez, Secretario. . j Vergara 23 de\ Julio.. .• .- - .i-j - . El Rbal Seminario público vascongado celebro sus exámenes genérales los dias 17 i 18, 19, 20 y 2 r del corriente , á presencia 'dejos</t>
  </si>
  <si>
    <t>Josef Viñals</t>
  </si>
  <si>
    <t>quarto Ayudantes :á este empleo á los Capitanes segundos D. Francisco Valderrama, D. Josef Power.y D. Josef Viñals: i. Capitanes segundos ,á los Tenientes D. Francisco Cl.os, D. Tomas Corrochano, D,. Rafael Villar,, graduado de Capitán, D. Bartolomé Lison, de granaderos, D. Joaquín Goyena, ide</t>
  </si>
  <si>
    <t>Josef Viya</t>
  </si>
  <si>
    <t>ndera D. Josef Fulgencio Rósales y D. Josef María Roa; á Subtenientes de granaderos ái de fusileros D. Josef Viya y al de bandera D. Josef Manuel Villanueva, y á Subtenientes á D. Dimas de Cañas, D. Tomas Arroyo, D. Josef DomingoUrquisavaso, D. Luis de Vera, D. Josef María Fernandez Boullosa, D</t>
  </si>
  <si>
    <t>Josef Vorster</t>
  </si>
  <si>
    <t>an al Capitán segundo D. .Rodulfo Bossart: á Teniente de granaderos en el de Reding al de fusileros D. Josef Vorster: á Tenientes en el de Traxler á los Subtenientes de granaderos D. Francisco Peyer y D. Víctor Ackerman: á Subtenientes de bandera, en el de Saboya, á D. Pablo Bernardo Quitos y D.</t>
  </si>
  <si>
    <t>Josef Withe</t>
  </si>
  <si>
    <t>rnando Carrasco , D. Ignacio Bernardini y D. Eugenio Villásana; y_á los Cadetes D. Pablo de Traba , D. Josef Withe , D. Vicente Máríar Rosique , D. Guillermo Berard y D. Gabriel Jaume. En el Real cuerpo de Artillería se ha servido el Ríe Y promover á Te—1 nientes Coroneles á los Gefes de briga</t>
  </si>
  <si>
    <t>Josef Worster</t>
  </si>
  <si>
    <t>Coronel, y D. Cándido Elgueta, graduado de Corone!;, y á Gefes de brigada á los Capitanes primeros D. Josef Worster y D. Luis Ibarroia. Asimismo se ha servido el Rey conceder en el regimiento de caballería de María Luisa, quinto de húsares, el empleo de Ayudante al Teniente, graduado de Capitán, D.</t>
  </si>
  <si>
    <t>Josef Xapayese</t>
  </si>
  <si>
    <t>Gerónimo. Tratado de hilar, devanar, doblar y torcer Jas sedas, según el método de Vaiucanson, por D. Josef Xapayese, con una disertación sobre la ventaja de este método respecto del antigua, por el Dr. D. Francisco Ortells y Gomhau presbítero : publicado para que se propagué Ja perfección de la</t>
  </si>
  <si>
    <t>Josef Xavier de Irurzur</t>
  </si>
  <si>
    <t>Fernando Arias de Saavedra, á D. Juan Gerónimo Valdés, Medio-Raqionero de ella: pata esta resulta á D. Josef Xavier de Irurzur , Cura en el misino arzobispado; y para una Media-Ración de la catedral de Cuenca, en el Perú , vacante por promoción de D. Aíanuel Guerrero y Sánchez, á D. Fausto Sodupe , presbí</t>
  </si>
  <si>
    <t>Josef Ximen'ó</t>
  </si>
  <si>
    <t>o. Tercera edición de las Veladas de la Quinta, adornada con 13 estampas, inventadas y grabadas por D. Josef Ximen'ó, dé la Rea’F Acadeiñisr^fivFéiiiíá'lRfb;/®' El aprecio que han merecido enitoda la.Europa las.obra»&lt;4* k Marquesa de Siile</t>
  </si>
  <si>
    <t>Josef Ximeno</t>
  </si>
  <si>
    <t>el acierto de su feliz gobierno, con sus retratos baxo dos doseles. Están dibuxadas y grabadas por D. Josef Ximeno, Académico de mérito de la Real de S. Fernando, para exornar el nuevo Catón cristiano de D.'"Joaquín Mó-* Jes, y pueden incluirlas por su tamaño y agregarlas á él los que. lo haya</t>
  </si>
  <si>
    <t>Josef Yañez</t>
  </si>
  <si>
    <t>rado'Ayüdántes délos regimientos provinciales de Córdoba y Ecija á los Capitanes D. Elias‘Áyiloai y D. Josef Yañez, Tenien» tes de los de infantería inmemorial del Rey y de las Ordenes Militares. En América. En el regimiento de infantería provincial de Celaya, en el Reyno de Nueva-España, se h</t>
  </si>
  <si>
    <t>Josef Yéregui</t>
  </si>
  <si>
    <t>propia diócesis* y para el Beneficio simple de Antequera, diócesis de Málaga, vacante por muerte de D. Josef Yéregui, á D. Andrés del Aguila. A D. Joaquín Riquelme, Catedrático de matemáticas en Cádiz, se han extraviado 2 vales Reales de 200 pesos, el uno de la creación de Setiembre, número 39,8</t>
  </si>
  <si>
    <t>Josef Zafra</t>
  </si>
  <si>
    <t>Sargento primero del mismo cuerpo j y á Ayudante del de AImansa, tercero de cazadores, al Teniente D. Josef Zafra. La Asesoría togada de las islas de Ibiza y Formentera, vacante por promoción de D. Valentín Llocer á la de la Intendencia de Cataluña, á D. Mateo Valdemoros. También se ha servid</t>
  </si>
  <si>
    <t>Josef Zapata</t>
  </si>
  <si>
    <t>arrantes y D. Carlos Moncayo, Tenientes del propio Cuerpo; á Teniente de granaderos al de fusileros D. Josef Zapata; á Tenientes de fusileros á D. Josef López y D. Juan Ceiis, Subtenientes del propio; á Subteniente de granaderos á D. F rancisco Cavero, y á Subtenientes de bandera á D. Josef Ure</t>
  </si>
  <si>
    <t>Josef Zorrilla y Ortiz</t>
  </si>
  <si>
    <t>D. Manuel Esqúivel y Castañeda , D. Diego Varo Franco, Don Pedro de la Barreda, D. Ignacio Reguera, D. Josef Zorrilla y Ortiz, Don Ignacio Olaeta y Calafát, D. Antonio Martínez y Tacón , D. Rafael Casa so la y ViUa.iba. En 3.a fecha. D; Luis de Córdoba y Postigo, D. Juan de Azas, D. Josef Olózága y Travi</t>
  </si>
  <si>
    <t>Josef, Príncipe</t>
  </si>
  <si>
    <t>Príncipe Josef</t>
  </si>
  <si>
    <t>772 El Príncipe Josef salió ayer para París; pero volverá ántes del 15 de Agosto, dia señalado para la distribución de las insignias de la Legión de honor, que el Emperador repartirá á los individuos d</t>
  </si>
  <si>
    <t>14.de este mes para continuar el nombramiento de los miembros del Cuerpo legislativo. Presidiólo el Príncipe Josef. Los discípulos de Mfc. Planche han representado el juéves último en su escuela una tragedia dé Sófocles en griego. Se cree que el Cuerpo legislativo se convocará para el p de Nov</t>
  </si>
  <si>
    <t>cio de las Tullerías, y fué introducido al salón del trono, y presentado á S. M. I. por S. A. I. el Príncipe Josef, Gran Elector___ S. E. Mr. Frangís (de Neuf-Chateau) arengó á S. M. en estos términos___ ,,Señor. El derecho de sufragio , aplicado especialmente á las leyes fundamentales, es el</t>
  </si>
  <si>
    <t>Josefa</t>
  </si>
  <si>
    <t>usar de su derecho al percibo del líquido de 1900 pesos, depositados en caxa, ocurriéron Doña Rita, Doña Josefa, Doña Ana y Doña María Rosa Anguiano, vecinas de la ciudad de Cádiz, como nietas de Don Juan Suarez, uno de los 5 herederos del testador; y como no han comparecido Jos de lds otro</t>
  </si>
  <si>
    <t>Josefa Pérez y Bernarda Lon</t>
  </si>
  <si>
    <t>misa, con objeto de promover su educación. Examinadas sus labores por las Sras. Doña María Benisia, Doña Josefa Perez y Doña Bernarda Lon, Socias de mérito, á las quales se les presentáron con sus respectivos números, sin manifestar el nombre de las interesadas, se procedió, según su graduación, á la adjudicación de</t>
  </si>
  <si>
    <t>JósefBerrosteguieta</t>
  </si>
  <si>
    <t>7oo varado, los gefes de trozo D. JósefBerrosteguieta y D. Sebastián de Gorvea, y los seminaristas D. Josef Martínez, IX'Manuel Fernandez, su hermano D. Josef, D. Bernabé Otalora, D. Ambrosio Velasco y D. Manuel Cámara. Y es también dign</t>
  </si>
  <si>
    <t>JosefPerez Iñigo</t>
  </si>
  <si>
    <t>didor y Flores. El Rey se ha servido nombrar segundo Capellán del Real colegio militar de Segovia á D. JosefPerez Iñigo, Cura de la Higuera. En América. S. M. se.ha. servido nombrar para una Ración de la catedral de Santiago de Chile, vacante por ascenso, de D. Josef Santiago Rodríguez á la Canongí</t>
  </si>
  <si>
    <t>JóséfPretel</t>
  </si>
  <si>
    <t>s á los Cadetes D. Manuel Mozota y D. Joaquín Soraviíia ; á Cadetes de numero á los supernumerarios D. JóséfPretel, D. Cristóbal Muñoz y D. Josef Alcayde, y á supernu■mérarió al‘Guardia D. Francisco Leria. Los tenedores de vales-dinero de la Tesorería de Consolidación , de la renovación de i.°</t>
  </si>
  <si>
    <t>Josel Cervino</t>
  </si>
  <si>
    <t>y D. Angel Bayon: Tenencias en los de Murcia y Extremadura á los Subtenientes D. Marcos. Márquez y D. Josel Cervino; y Subtenencias de bandera en los de Zamora y Málaga á los Cadetes D. Cárlos Emilio y Bielsa y D. Antonio Ramón Tata. En el Regimiento de infantería Suizo de Wimpffen se ha servid</t>
  </si>
  <si>
    <t>Josel Vriu</t>
  </si>
  <si>
    <t>dad para su obtención; y para el de Móstoles, en el Arzobispado de Toledo, vacante por promoción de D. Josel Vriu á Canongía de aquella Iglesia, y no haber acudido á sacar ei título D. Pedro Angel del Trell, á quien nombró por decreto de 29 de Mayo del año</t>
  </si>
  <si>
    <t>Joset Bonaparte, Príncipe</t>
  </si>
  <si>
    <t>Príncipe Joset Bonaparte</t>
  </si>
  <si>
    <t>riano del 29 de Setiembre dice, que el 22 pasó por Génova, viniendo de Turin, Mr. Clary, cuñado del Príncipe Joset Bonaparte, que iba á toda diligencia á Roma. El dia 24 pasó por la misma ciudad el General Caffarelli con ei encargo, según dicen, de entregar á S. S. pliegos de grande importancia, donde q</t>
  </si>
  <si>
    <t>Jóset de Molina, Jacinto</t>
  </si>
  <si>
    <t>Jacinto Jóset de Molina</t>
  </si>
  <si>
    <t>;sérvfdo ñómbrár para una*Ganongía dé la iglesia primada ' de Toledo , vacante £or fallecímiehto de D. Jacinto Jóset de Molina , í D. Juan Félix García , Racionero de ella: para otra'dé la propia iglesia, vacante por muerte de D. Francisco Acedo y Torres , á D. Domingo Alonso Rodríguez, Gura párroco de la</t>
  </si>
  <si>
    <t>Joset Gutiérrez</t>
  </si>
  <si>
    <t>der Tenencias en ios regimientos de infantería de Zamora y Ultonia á los Subtenientes de granaderos D. Joset Gutiérrez y D. Josef Boery; y Subtenencia de bandera en los de Murcia, Extremadura, Voluntarios de la Corona y Ñapóles á los Cadetes Don Josef Fernandez de Escovar, D. Toribio Fernandez Cosío ,</t>
  </si>
  <si>
    <t>Joset María Galdano</t>
  </si>
  <si>
    <t>iempo para esta plaza al Alcalde de corte del mismo Tribunal D. Melchor de Udi: para esta resulta a D. Joset María Galdano , con la antigüedad que tiene en la plaza del crimen de la Audiencia de Valencia; y para sucederle en ella a D. Ramón Calvo de Rozas. En América. S. M. se ha servido nombrar para</t>
  </si>
  <si>
    <t>Joset Muñoz</t>
  </si>
  <si>
    <t>laudio Martínez: á Tenientes de fusileros de los de Lnjalance, Tu y v eiudad-Realá los Subtenientes D. Joset Muñoz. D. Francisco Perez del Villar y D. ManueJ Mexía; y á Subteniente de bandera del de Xerez al Cadete D. Domingo Sarga. A conseqüencia de la visita que de orden del'Rey, comunicada</t>
  </si>
  <si>
    <t>Josfef AfigelRecacdechea</t>
  </si>
  <si>
    <t>se servirá entregarlo al inismó D. Josfef AfigelRecacdechea, vecino de Bilbao, ó á D. Frutos Alvaro Benito , vecino de esta Córte. . &gt; Con Real facultad se venden en término, de la ciudad de Badajoz las suertes de dehesa siguientes; una en</t>
  </si>
  <si>
    <t>Jostf Gova y Muniain</t>
  </si>
  <si>
    <t>encóraetro, debió ponerse oe .ómetro, glencámetro. Los Comentarios de Julio César en castellano por D. Jostf Gova y Muniain. Para mayar comodidad del público los juegos se venderán á Ja rústica, unos coa láminas, otros sin ellas: todos llevarán á I* menos el retrato del Rey, y el de César y Pompevo: 2</t>
  </si>
  <si>
    <t>Joubert</t>
  </si>
  <si>
    <t>la salida del correo. TURQUIA. Constantinopia 28 de Abril. Ha llegado aquí de París tres dias hace Mr. Joubert, el mismo que acompañó como intérprete á Bonaparte quando vino á Egipto. Dícese que trae una carta del primer Cónsul para entregarla en mano propia al Gran Señor. Por un navio mer</t>
  </si>
  <si>
    <t>Jourdan, General</t>
  </si>
  <si>
    <t>General Jourdan</t>
  </si>
  <si>
    <t>iones se han adoptado en la República Valesiana__ Las tropas Francesas en Italia, á las órdenes del General Jourdan, ocuparán todos los puestos por donde se comunica conToscana, y en todas partes se harán quarentenas muy rigurosas. FRANCIA. Turin 1 $ de Noviembre. El 21, á las 11 de la noche, e</t>
  </si>
  <si>
    <t>JpsreJf de Sotomayor</t>
  </si>
  <si>
    <t>erto de Santa María, á los 82 años, 7 meses y 6 díasele edad, el Excmp. $r., D» JpsreJf de Sotomayor , Teniente General de Ips Reales exércitos. Sirvió ,á espacio de 69 años y 4 meses: hallándose en el exercjto.de ^talia aL-mando del Sr. Infante D. Felipe , estuvo en la batalla de-la^ádQjj%</t>
  </si>
  <si>
    <t>JSJnrne, Mariscal</t>
  </si>
  <si>
    <t>Mariscal JSJnrne</t>
  </si>
  <si>
    <t>RE DE 1804. { TURQUIA. , v C‘ • i Constantinopia jp de Agoste. Luego que nuestra Corte supo por. el Mariscal JSJnrne., Embajador de Francia, la exaltación del Emperador de los Franceses, el ReisEíFendi fue encargado,.de orden expresa del Gran Señor, de cumplimentar al Embaxador, y de manifestarl</t>
  </si>
  <si>
    <t>Jua</t>
  </si>
  <si>
    <t>e Montemorana, vecino de la ciudad de Lucena, acudan por su audiencia, y escribanía de provincia de D. Jua .uitonio de Zamacola, á usar de su derecho, dentro del término preciso y único de 40 dias, contados desde el 7 del corriente, con apercibimiento de que pasado les parará el perjui</t>
  </si>
  <si>
    <t>Juan Andrés</t>
  </si>
  <si>
    <t>. O rigen, progresos y estado actual ;'de toda la literatura. Obra escrita en italiano por el.Abate D. Juan Andrés, y traducida al castellano por D. Carlos Andrés: tomo 9.0 Se hallará, con los anteriores, en la libreiía de Sancha, calle del Lobo. Aventuras de Telémaco, hijo de Ulises, por el l</t>
  </si>
  <si>
    <t>Juan Antonio</t>
  </si>
  <si>
    <t>de S; Hipólito de Córdoba * por ascenso de D. Juan Gómez Mayoral á la Dignidad de Prior de ella , i D. Juan Antonio de. Castro y Baena, Curá déla parroquia de S..Salvador y Sto. Domingo de aquella ciudad: para el medio Beneficio de la Villa de Priego, en el obispado de Cuenca, vacante por fallecim</t>
  </si>
  <si>
    <t>Juan Domingo</t>
  </si>
  <si>
    <t>1119 Josef Pujol á otro de la Iglesia Metropolitana de la 'misma Diócesi, á Don Juan Domingo, Vicario segundo que ha sido de la misma Parroquia. En la Compañía Americana del J^eal Cuerpo de Guardias de Corps ha nombrado el Rey Cadete de número at Supernumerario D. Josef M</t>
  </si>
  <si>
    <t>Juan María</t>
  </si>
  <si>
    <t>7.p tería de Sevilla al Ayudante, graduado de Capitán, D. Juan María Du~&gt; ran: y Subtenencias de bandera en el de León al Cadete del Real cuerpo de Ingenieros Cosmógrafos de Estado D. Antonio María Degres: en: el de Cantabria al Cadete del cuerpo vete</t>
  </si>
  <si>
    <t>Juan Pablo Sebastián</t>
  </si>
  <si>
    <t>fantería de Mallorca; á D. Antonio Hurtado, D. Josef Navarro, D. Francisco Ruarte, D. Miguel Ruano, D. Juan Pablo Sebastian y D. Andrés, A rango, Subtenientes de los de Güadalaxara, Princesa , Valencia , Navarra y Granada ; á D. Tomas Soldevilla , Teniente del provincial de Avila ; á los Cadetes de Reales</t>
  </si>
  <si>
    <t>Juan, Archiduque</t>
  </si>
  <si>
    <t>Archiduque Juan</t>
  </si>
  <si>
    <t>car una de las ciudades de la tierra-firme del antiguo estado véneto, y se cree que sea Treviso. EL Archiduque Juan , director de Ingenieros de Austria, salió el 3 del próximo pasado con el objeto, según dicen , de presenciar y dirigir las obras relativas á las fortificaciones de aquella plaza.</t>
  </si>
  <si>
    <t>663 ITALIA. Milán ir de Junio. S. A., el Archiduque Juan ha llegado á Verona el 17 del corriente, acompañado del General en gefe Conde de Beilegarde. Han ido á cumplimentarle el General francés Gardanne, y el Comisario de la República i</t>
  </si>
  <si>
    <t>ajas á las damas. El Príncipe de Ligne tenia tienda de librero. Ha concluido su viage por Italia el Archiduque Juan, hermano del Emperador, y se. le espera aquí para el 12 del corriente. Ha visitado el Tirol y el pais ex-veneciano ; ha recófrido las montañas desde Inspruck hasta cerca de Verona</t>
  </si>
  <si>
    <t>15 dias, después de lo qual se restituirán á Viena. Durará el viage cerca de dos meses. S. A. R. el Archiduque Juan, Gran Maestre de la Orden Teutónica, se pondrá el 10 de este mes en camino para Mergentheim. Francfort 10 de Setiembre. Escriben de;Viena lo que sigue:,,Aunque ya hace mucho tiemp</t>
  </si>
  <si>
    <t>, si no muda de semblante el estado de las provincias Turcas fronterizas. Se asegura todavía que el Archiduque Juan , hermano del Emperador , y adjunto del Archiduque Carlos en el Ministerio de la Guerra, mandará estas tropas, y que sentará su quartel general en Buda. Se ha publicado una carta</t>
  </si>
  <si>
    <t>JuanCasou</t>
  </si>
  <si>
    <t>ada en la Real casa Aduana, y en las provincias á lo» comisionados siguientes: En Alicante......... D. JuanCasou y compañía. En Avila............... D. Fernando Echepare y sobrinos. En Badajoz...........D. Tomas Merino Ortiz. En Barcelona....... D. Ramón de Llordella é hijo. En Búrgos.........</t>
  </si>
  <si>
    <t>JuanCaspu</t>
  </si>
  <si>
    <t>situada en la Real Aduana, y en las provincias á los comisionados siguientes: J}n Alicante*........ D. JuanCaspu y compañía. En Avila.... ......... D. Fernando Echepare y sobrinos. , En Badajoz.......... D. Francisco Fernandez de la Peña y de S. Miguel, En Barcelona....... D. Ramón de Llordeil</t>
  </si>
  <si>
    <t>Juárez, Pedro</t>
  </si>
  <si>
    <t>Pedro Juárez</t>
  </si>
  <si>
    <t>de él D. Pedro Sánchez Llórente, á quien S. M. nombró por decreto de 27 de Marzo del año último , á D. Pedro Juárez , Capellán de ánimas de la villa del Sotillo , en la propia diócesis* y para el Beneficio simple de Antequera, diócesis de Málaga, vacante por muerte de D. Josef Yéregui, á D. And</t>
  </si>
  <si>
    <t>Juistiniani y Ca, Francisco</t>
  </si>
  <si>
    <t>Francisco Juistiniani y Ca</t>
  </si>
  <si>
    <t>iSar, D, Manuel Gutiérrez Caviedes, D^ Miguel:dejSoto, K’Jos.ef de la Serna, Juan Güimil, y Camaño, D. Francisco Juistiniani y Ca&amp;rera¿. Ena* fyc/ia.J). Joaquinas la Llave y Coca, D. Casimiro Vigodet y Garnica, I). Pedro del Villar,</t>
  </si>
  <si>
    <t>Julio Ponce</t>
  </si>
  <si>
    <t>erable , muerto su Comandante el Capitau de Fragata D. Juan Josef Varela , herido el Guardia Marina D. Julio Ponce, el segundo Piloto D. Josef Solórzano , el Pilotín D. Antonio Rodríguez, y otros varios individuos, arriamos la bandera , quando consideramos que quedaba ya bien puesto el honor d</t>
  </si>
  <si>
    <t>Junco, Pedro</t>
  </si>
  <si>
    <t>Pedro Junco</t>
  </si>
  <si>
    <t>nientes D. Juan de Arguelles y D. Francisco de las Piedras; á Subtenientes á los segundos Ayudantes D. Pedro Junco y D. Alejandro Alvarez Guitian , y á Ayudante segundo, con grado de Subteniente , al Sargento primero de cazadores D. Roque Ireguí. Asimismo en ei regimiento de infantería de Nueva-Es</t>
  </si>
  <si>
    <t>Junco, Ramón Antonio</t>
  </si>
  <si>
    <t>Ramón Antonio Junco</t>
  </si>
  <si>
    <t>de la plaza de Ceuta D. Miguel Diez de Real: en el de Ñapóles al Cadete de Reales Guardias Walonas D. Ramón Antonio Junco; y en los de Irlanda, Astúrias y Borbon á los Cadetes de los propios cuerpos D. Miguel Garrido, D. Diego García de San Pedro y D. Josef Mariano Berard. El Rey se ha servido nombra</t>
  </si>
  <si>
    <t>Junot, General</t>
  </si>
  <si>
    <t>General Junot</t>
  </si>
  <si>
    <t>á las órdenes del General Bourcier; los destacamentos de granaderos de la reserva á las órdenes del General Junot; los oficiales y dragones de la división del General Baraguay-d’Hilliers, y de la del General Klein, que hacen parte de la Legión de honor, para situarse en los campamentos prepar</t>
  </si>
  <si>
    <t>iembre. El Emperador ha hecho maniobrar, en Arras, á los granaderos de la reserva , mandados-por el General Junot. Es imposible ver tropa mas hermosa; la componen soldados veteranos, cubiertos,casi todos ellos, de gloriosas heridas. El Emperador en persona ha mandado las maniobras, que han du</t>
  </si>
  <si>
    <t>Junqueras, Pedro</t>
  </si>
  <si>
    <t>Pedro Junqueras</t>
  </si>
  <si>
    <t>141-25 Pedro Junqueras.................. Aicoleta.................... ...... I4r..25 Ambrosio García............. .. Puebla de Montalban- 141-25 Josef U Fuente.........</t>
  </si>
  <si>
    <t>Jusro Cilleruelo, Domingo</t>
  </si>
  <si>
    <t>Domingo Jusro Cilleruelo</t>
  </si>
  <si>
    <t>, vacante por mueite de D.Juan Manuel López,y para el de Sacramentos de Gumiel de Izan , por la de D. Domingo Jusro Cilleruelo , ambos en el obispado de Osma, á D. Simón Piriz de la Ignacia , presbítero, vecino de la plaza de Glivencia: para ei de S. Pedro de la ciudad de Avila, vacante por fallecimiento</t>
  </si>
  <si>
    <t>Juste, Miguel</t>
  </si>
  <si>
    <t>Miguel Juste</t>
  </si>
  <si>
    <t>Schwaller al Subteniente de fusileros D. Josef Krutter; Subtenencias de bandera en el de Mallorca á D. Miguel Juste y D. Esteban López, Sargento.primero de granaderos, y Cadete del mismo cuerpo, y á D. Manuel de la Torré y Cárdenas, Cadete del regimiento de infantería de la Havana; é igual empleo e</t>
  </si>
  <si>
    <t>Justiz, Andrés</t>
  </si>
  <si>
    <t>Andrés Justiz</t>
  </si>
  <si>
    <t>rvido conceder Ayudantía en el regimiento de infantería de Africa al Capitán D. Andrés Justiz, Teniente del de Cantabria: Tenencia en el de la'Trincesa al Subteniente D. Antonio González; y Subtenencias de bandera en los de Irlanda, Extremadura y Ordenes Militares á los Sargentos pr</t>
  </si>
  <si>
    <t>Justo Aranccta</t>
  </si>
  <si>
    <t>por sus herederos en su testamento y última disposición, nombrando por sus albaceas y cabezaleros á D. Justo Aranccta y D. Marcelino Echavarría, á ios dos juntos, y £ cada uno m solidum, dándoles facultad para que por sí solos* y sin intervención de Justicia alguna , se entren por sus bienes, los inv</t>
  </si>
  <si>
    <t>Justo López</t>
  </si>
  <si>
    <t>os Cadetes D. Nicolás Canalejo y D. Juan Presno y Aguilar, y á los Sargentos primeros de granaderos D. Justo López y D. Francisco de Paula Cruz. También ha nombrado S, M. Ayudante mayor del regimiento de Milicias disciplinadas de dragones de Matanzas á D. Josef de Nova, Teniente veterano del de Mi</t>
  </si>
  <si>
    <t>Justo Salafranca</t>
  </si>
  <si>
    <t>. Juan Albornoz, D. Joaquin de Toledo, D. Joaquin Leones, D. Julián Leones, D. Pedro Rato Cisneros, D. Justo Salafranca, D. Baltasar Cornelias, D. Josef Rodríguez Truxillo, D. Josef Pereyra, D. Santiago Mazarredo, D. Josef Mazarredo, D. Juan de’Vera, D. Pedro de Salazar, D. Felipe Esteller,, D. Jos</t>
  </si>
  <si>
    <t>Jüún Félix García</t>
  </si>
  <si>
    <t>ionero iáe *la misma iglesia: para una Ración de la catedral de Toledo ,vá cari te por promoción de D. Jüún Félix García á Canongía de ella', á D. Josef Fernandez y Blanco , Capellán mayor de las monjas llamadas Vallecas; y para otra de La catedral de Mondoñedo, vacante por fallecimiento de D. Franc</t>
  </si>
  <si>
    <t>Kasly, Luis</t>
  </si>
  <si>
    <t>Luis Kasly</t>
  </si>
  <si>
    <t>e Traxler Tenencia al Subteniente D. Rafael Barina; y Subtenencias de granaderos á los Subtenientes D. Luis Kasly y D. Xav ier Traxler. En América. En atención á la aptitud y méritos literarios de Don Francisco Bazo y Berri, Abogado de la Chancillería de Granada, ha venido el Rey en nombrarle par</t>
  </si>
  <si>
    <t>KauíFmann</t>
  </si>
  <si>
    <t>dice, el Elector de Baviera, sin embargo de ser dueño de casi la tercera pai te de aquel círculo. v Mr. KauíFmann , Secretario de la legación Prusiana en Ratisbona, y Encargado de negocios, por ausencia del Conde de Goertz, ha entregado al Comisario Imperial, Mr. de Hugel, una nota de su Cort</t>
  </si>
  <si>
    <t>Kaunitz-Rittberg, Conde</t>
  </si>
  <si>
    <t>Conde Kaunitz-Rittberg</t>
  </si>
  <si>
    <t>ue Alberto de Saxonia-Teschen no ha podido visitar los campamentos por hallarse indispuesto----- El Conde Kaunitz-Rittberg, Enviado del Austria cerca de la Corte de Saxonia, pasa con igual destino á la de Ñapóles. El io del corriente ha fallecido, al cabo de una larga enfermedad , el Conde reynante de</t>
  </si>
  <si>
    <t>Kcdriggn, Manuel</t>
  </si>
  <si>
    <t>Manuel Kcdriggn</t>
  </si>
  <si>
    <t>amacho, Don Juan Martínez, D. Ramón Amaya , E3. JflosefSuarez , D. Pedro del Barco, D. Pedro Nuñez, D. Manuel Kcdriggn§^&lt;» D. Juan Josef Murrieta, Don Francisco Spínola, D. Juan Ulloa., D. M-sariin Oarrichena , D. Manuel Bacaro, D. Antonio Bovadilla, D. Migu«i(li Martínez, D. Luis Lasqueti,Don Jua</t>
  </si>
  <si>
    <t>Kdn, General</t>
  </si>
  <si>
    <t>General Kdn</t>
  </si>
  <si>
    <t>os , y pasan á referir las acgloriosa que luego de la campaña del año 5.0, en la qual se tomaron al General Kdn~ glin varios papeles, y entré ellos los que estaban en cifra, y parecieron ser alguna correspondencia que Pichegrú habia tenido ei año anterior con los Príncipes franceses. Moreau</t>
  </si>
  <si>
    <t>Keith y Sir Home, Lord</t>
  </si>
  <si>
    <t>Lord Keith y Sir Home</t>
  </si>
  <si>
    <t>al sol: dentro del aposento estaba á 76: este es el mayor calor que se ha experimentado desde 1774* Lord Keith y Sir Home 'Popham acaban de examinar los preparativos del enemigo en la costa opuesta. Hasta ahora ignoramos el resultado de las observaciones que han hecho; solo sabemos que cada día se •</t>
  </si>
  <si>
    <t>Keith, Lord</t>
  </si>
  <si>
    <t>Lord Keith</t>
  </si>
  <si>
    <t>ntal del Imperio, concerniente á las indemnizaciones. GRAN BRETAÑA. Londres go de Julio. Dícese que Lord Keith sucederá al Almirante Cornwallis en el mando de la esquadra del Canal, y que Lord Duncan mandará en las Dunas. Estos dias pasados ha reinado en Dublin la mayor inquietud, ocasiona</t>
  </si>
  <si>
    <t>e ciertos subsidios. GRAN BRETAÑA. Continuación de las noticias de Londres del 1 $ de Setiembre. El Lord Keith ha vuelto á las Dunas después de haber examinado la costa de Francia. El Lord Melville, que le acompañaba, no ha ido muy léjos, pues desembarcó en Walmer. El enemigo tiene gran nu</t>
  </si>
  <si>
    <t>que el viento habia separado de la costa de Francia, ha vuelto á ocupar sus puestos.__El dia 22 el Lord Keith, á bordo del Monarca, y acompañado de Sir Home Popham en un lugre, han examinado de nuevo el verdadero estado de los preparativos del enemigo. Se ha dicho que uno de los objetos d</t>
  </si>
  <si>
    <t>GRAN BRETAÑA. Londres 10 de Octubre. En la Gazeta de la Corte, del 6, se ha publicado el oficio del Lord Keith, á bordo del Monarca, a la vista de Bolona, en que da cuenta de lo ocurrido delante de aquel puerto en la noche del 2 al 3 del corriente----- ,,Toda mi atención , como V- SS. sabe</t>
  </si>
  <si>
    <t>Kellerman, General</t>
  </si>
  <si>
    <t>General Kellerman</t>
  </si>
  <si>
    <t>ado á todos los militares que se hallaban presentes. El General Schiner mandaba la infantería, y el General Kellerman la caballería. Muchas gentes acuden este año á tomar las aguas de Pirmont, de Naumburgo, de Driburgo y de Rehburgo: ya no hay habitaciones par* tantas personas ; por lo qual es regul</t>
  </si>
  <si>
    <t>Kerner</t>
  </si>
  <si>
    <t>ugetós de gran consideración siguen arrestados en Aspery, adonde el Elector piensa enviar también á Mr. Kerner, de Luisburgo, Consultor de ios. Estados, y uno de los personages mas acreditados de Wurtemberg. Estas y otras providencias han excitado descontento géneral, y es muy temible qué</t>
  </si>
  <si>
    <t>Keutsh</t>
  </si>
  <si>
    <t>tes 9 de Agostcr del año pasado de 1803* capítulo de Hamburgo, se publico ei artículo siguiente: El Dr. Keutsh, natural de Santo.Tomas, y residente en Santa Cruz, en donde está generalmente estimado, á causa de sus conocimientos en la medicina, ha curado con felicidad en esta última isla u</t>
  </si>
  <si>
    <t>Kikkert, Almirante</t>
  </si>
  <si>
    <t>Almirante Kikkert</t>
  </si>
  <si>
    <t>e desde el año de 1816 , y no se pagará interes por este capital. Según noticias de oficio del Vice-Almirante Kikkert , comandante del Texel, la chalupa cañonera la Víbora, mandada por el Teniente Rabvan Weezel, apostada cerca de Everland, fue acometida en la noche del 8 al 9 de este mes por vari</t>
  </si>
  <si>
    <t>as conferencias del Consejo 4e Marina; y aun hay días en que se juntan dos ó tres veces___El Contra-Almirante Kikkert, Comandante de las fuerzas navales del Te</t>
  </si>
  <si>
    <t>l Gobernador del Cabo de Buena-Espéranza.Mr. Jarmen.- . ; ; El Gobierrióíhavdadó órdenes al: Vice-r Almirante Kikkert, que manda en las costas desde la embocadura del Mosa hasta el Ems, ó hasta las fronteras de la República, para que vigile que no se introduzca por medio de las islas Británicas n</t>
  </si>
  <si>
    <t>Killwarden, Lord</t>
  </si>
  <si>
    <t>Lord Killwarden</t>
  </si>
  <si>
    <t>observaron los traydores arreglándose á las instrucciones del gobierno francés. Hiere el elogio del Lord Killwarden , que fue víctima del furor revolucionario-, considera acreedora su familia á la generosidad nacional, y volviendo á tratar de las providencias que propone á la Cámara se continúe</t>
  </si>
  <si>
    <t>Kilyarden, Lord</t>
  </si>
  <si>
    <t>Lord Kilyarden</t>
  </si>
  <si>
    <t>ba yo ausente; pero sé que se contentaron los Ministros con dar notircia del horrible asesinato del Lord Kilyarden, y de que habia habido una insurrección. ¿Esta insurrección era parcial ? ;Tenia.algunas ramiíicaclones al mediodía ó al norte de lalrlanda? ; Estaba fomentada por el . extrangero</t>
  </si>
  <si>
    <t>King, Lord</t>
  </si>
  <si>
    <t>Lord King</t>
  </si>
  <si>
    <t>la Cámara de los Pares deli.° del corriente, el Lord Hawkesbury contestó á una pregunta que hizo el Lord King sobre la salud del Reyen los mismos términos ,, de que se sirvió anteriormente Mr. Addington eti la de lós Comunes. La qüestion que puso Lord Ring</t>
  </si>
  <si>
    <t>Klein, General</t>
  </si>
  <si>
    <t>General Klein</t>
  </si>
  <si>
    <t>Desde el otoño del año pasado anda el General Klein acompañado de Mr. Pidol, Secretario de la Guerra, y de otras muchas personas, visitando las fronteras militares, para examinar ios abusos de la administración, y las causas de la</t>
  </si>
  <si>
    <t>jeros, y Grandes de la corte___lEn los dós teatros hubo entrada franca con tan plausible motivo. El General Klein y los oficiales del estado mayor, düe fueron en^ cargados por el Emperador, á representación de S. A. R. el Archiduque Carlos, de la inspección de las fronteras militares de toda la mon</t>
  </si>
  <si>
    <t>General Junot; los oficiales y dragones de la división del General Baraguay-d’Hilliers, y de la del General Klein, que hacen parte de la Legión de honor, para situarse en los campamentos preparados por orden del Mariscal de Soult. El 15 , al ponerse el sol, hará una salva la artillería de las</t>
  </si>
  <si>
    <t>Klemburg Scheverin, Príncipe</t>
  </si>
  <si>
    <t>Príncipe Klemburg Scheverin</t>
  </si>
  <si>
    <t>ho, en el palacio Borghese, espléndidos preparativos. Ha llegado á esta ciudad últimamente S. A. el Príncipe Klemburg Scheverin, con una comitiva numerosa-----También han venido de París Mr. de Hitroíf, Mayor General del Emperador de Rusia, e! General MoronzoíF y dos Senadores rusos 5 y han sido recibidos</t>
  </si>
  <si>
    <t>Klupfel</t>
  </si>
  <si>
    <t>ción en que se halla la Dieta----- Esta ausencia de los principales Ministros parece desagradable á Mr. Klupfel, Encargado de negocios de la Rusia. Había recibido,según dicen, nuevas instrucciones de su corte relativas á la nota que presentó á la Dieta hace unos 3 meses, según las quales ha</t>
  </si>
  <si>
    <t>atisbona II de Octubre. Se habla mucho de una nota de la mayor importancia enviada de Petersburgo á Mr. Klupfel, para que la comunique á la Dieta inmediatamente que empiece sus sesiones, Francfort i $de*Qctubre, El Emperador ha autorizado á nuestra ciudad para percibir diferentes impuestos</t>
  </si>
  <si>
    <t>Knox, General</t>
  </si>
  <si>
    <t>General Knox</t>
  </si>
  <si>
    <t>rlanda, es urgente la necesidad de adoptar otro, y la tardanza no podrá menos de se¿* funesta.^. El General Knox aprueba la propuesta, y manifiesta la satisfacción que le causó la primera parte del discurso del Coronel Hutchinson, sintiendo lo haya terminado con unas reflexiones propias á pr</t>
  </si>
  <si>
    <t>KohlerConsejero</t>
  </si>
  <si>
    <t>ropia de Fátima; en ñn, algunas obras filosóficas en lengua Arábiga, y las poesías Turcas de Bakig. Mr. KohlerConsejero de colegio , y Mr. Kugelgen , Pintor de países , van á hacer un viage á la Crimea, á fin de examinar las producciones naturales de aquel país, y dibuxar sus vistas ma*&gt; hermosas. Mr.</t>
  </si>
  <si>
    <t>Korckisko, General</t>
  </si>
  <si>
    <t>General Korckisko</t>
  </si>
  <si>
    <t>9 de Noviembre. El 5 del corriente tuvieron un crrivite los Polacos para celebrar el cumpleaños del General Korckisko. Presidia la fiesta el General Dombrowsky, adoptado mucho tiempo ha por los ejércitos Franceses, y que en el de Italia manda actualmente á los que han quedado de aquellas intrépid</t>
  </si>
  <si>
    <t>Korft</t>
  </si>
  <si>
    <t>sistema económico-político. RUSIA. Petershurgo- i.° cíe Mayo. Ha fallecido el Consejero de Colegio Mr. Korft. Este hombre benéfico tenia cercada siempre su casa de enfermos desvalidos, á quienes socorría con la. mas acendrada caridad, gastando en suministrarles medicinas mas de 5® duros</t>
  </si>
  <si>
    <t>Kotzebue</t>
  </si>
  <si>
    <t>l 6 del comente a la guarnición de Potsdam. . . Acaba de publicarse en Berlin el postrer escrito de Mr. Kotzebue titulado los recuerdos de Paris. En lo que va de este año han zarpado de Copenhague, con destino a las Indias occidentales, 11 buques con pasaportes latinos. lia llegado á Hornbec</t>
  </si>
  <si>
    <t>Krafft</t>
  </si>
  <si>
    <t>e Stockar xecibió esta noticia pasó inmediatamente, en nombre de su gobierno, al lugar donde reside Mr. Krafft, para saber los motivos de una conducta tan extraordinaria, que manifestaba intenciones hostiles; Mr. de Krafft *e excusó con las órdenes expresas que le habia enviado su corte, p</t>
  </si>
  <si>
    <t>Kraienhotf, Coronel</t>
  </si>
  <si>
    <t>Coronel Kraienhotf</t>
  </si>
  <si>
    <t>se trabaja en levantar un mapa trigonométrico de la República bátava baxo la dirección del Teniente Coronel Kraienhotf, director de fortificaciones. Esta empresa que se mandó en 179$ se ha interrumpido varias veces, pero parece que quedará concluida antes de fines de este verano, y no poco contrib</t>
  </si>
  <si>
    <t>Kugelgen</t>
  </si>
  <si>
    <t>as filosóficas en lengua Arábiga, y las poesías Turcas de Bakig. Mr. KohlerConsejero de colegio , y Mr. Kugelgen , Pintor de países , van á hacer un viage á la Crimea, á fin de examinar las producciones naturales de aquel país, y dibuxar sus vistas ma*&gt; hermosas. Mr. Redow ki, Director del j</t>
  </si>
  <si>
    <t>Kuiz de Villa y Barreda, Manuel</t>
  </si>
  <si>
    <t>Manuel Kuiz de Villa y Barreda</t>
  </si>
  <si>
    <t>ervido nombrar Secretario de la Sargentía mayor é Inspección del Real Cuerpo de Guardias de Corps á D. Manuel Kuiz de Villa y Barreda, Subrigadier supernumerario de la Compañía Española. S. M. se ha servido- conferir Compañía en el Regimiento de infantería de las Ordenes Militares al Ayudante, graduado de Capitá</t>
  </si>
  <si>
    <t>Kurakin, Alexandro (príncipe)</t>
  </si>
  <si>
    <t>Príncipe Alexandro Kurakin</t>
  </si>
  <si>
    <t>Petersburgo 3 de Enero d* 1804. Se espera en esta ciudad de un instante á otro al ex-Více-Canciller Príncipe Alexandro Kurakin. S. M. se halla enteramente restablecido, y hace algunos dias que fue á pasearse hasta el palacio de la Táurida. El Conde de Worqhzoíf, Ministro de Estado, está para marchar 1 Mos</t>
  </si>
  <si>
    <t>la Fuente de Velasco, Manuel</t>
  </si>
  <si>
    <t>Manuel la Fuente de Velasco</t>
  </si>
  <si>
    <t>joz. El Rey se ha servido nombrar Coronel del regimiento Provincial de Ciudad-Real al de infantería D. Manuel la Fuente de Velasco, Coronel agregado al mismo cuerpo. También se ha servido ei Rey promover á Capitán segundo del tercer regimiento del Real cuerpo de Artillería al Teniente D. Josef Guerrero. Asimi</t>
  </si>
  <si>
    <t>Labrador, Miguel</t>
  </si>
  <si>
    <t>Miguel Labrador</t>
  </si>
  <si>
    <t>ócesis de Orense: para una Ración de la colegial de Roa, diócesis de Osma, vacante por promoción de D. Miguel Labrador ¿i Canongía de ella, á D. Benito León Crisol, Capellán y Maestro de Ceremonias de la propia iglesia: para el Beneficio rural de Alocas y Gómez Cardeña, en ei arzobispado de Sevill</t>
  </si>
  <si>
    <t>Lacaba, Ignacio</t>
  </si>
  <si>
    <t>Ignacio Lacaba</t>
  </si>
  <si>
    <t>o teórico-práctico del cuerpo humano: primera parte. De los huesos del esqueleto de,un adulto-, por D. Ignacio Lacaba y D. Isidoro de Isaura. Este primer quaderno contiene 9 estampas, cuyas figuras representan la primera las substancias de los huesos, y las otras 3 todos los huesos que componen la ca</t>
  </si>
  <si>
    <t>Lacava, Ignacio</t>
  </si>
  <si>
    <t>Ignacio Lacava</t>
  </si>
  <si>
    <t>nta y Calcografía Real. Curso completo de anatomía del cuerpo humano, por el Dr. D. Jayme Bonells y D. Ignacio Lacava, en 5 tomos en 8.° francés. En el discurso preliminar se da una breve historia de la anatomía desde su origen hasta el siglo xvin*. en los 5. tratados, que comprehenden toda la an</t>
  </si>
  <si>
    <t>Lacorte, Felipe</t>
  </si>
  <si>
    <t>Felipe Lacorte</t>
  </si>
  <si>
    <t>undos D. Felipe Montes y D. Manuel Oterwin: á Ayudantes primeros del regimiento Real de Zapadores á D. Felipe Lacorte y D. Alexandro Pastor; y á Capitanes segundos á los Tenientes D. Isidoro García de Montejo, Don Juan Sociats, D. Fernando Norzagaray y D. Pedro Salazar. En América. Habiendo resuelto</t>
  </si>
  <si>
    <t>Lacuée, Coronel</t>
  </si>
  <si>
    <t>Coronel Lacuée</t>
  </si>
  <si>
    <t>, á saber: los Generales de brigada Caffurelly, Lauriston, Caulaincourt, Lemarois, Savary, Rapp, el Coronel Lacuée, y el gefe de esquadron Lebrun, hijo del tercer Cónsul. El General de división Duroc, gefe del gobierno del palacio, tiene también 6 Ayudantes generales á sus órdenes. La guardia</t>
  </si>
  <si>
    <t>Ladrón de Guevara, Antonio</t>
  </si>
  <si>
    <t>Antonio Ladrón de Guevara</t>
  </si>
  <si>
    <t>eros ál Cadete D. Manuel Estrada; á Subtenientes dé fusileros á los Cadetes D. Josef Félix Pedraja, D. Antonio Ladrón dé Guevara, D. Josef de la Peña y D. Josef Estrada, y á Subtenientes de bandera á D. Francisco Gutiérrez de Arredondo y D. Francisco Melgosa , vecinos de aquella provincia. Por el Ministerio</t>
  </si>
  <si>
    <t>Lafon</t>
  </si>
  <si>
    <t>Principios fundamentales de la ciencia y arte de mantener y restablecer la salud del hombre, por el Dr. Lafon, Médico del hospital de Bordéame: traducido al castellano. Esta obra ofrece á los profesores de Medicina y Cirugía unos preliminares nuevos y filosóficos de su ciencia para compre</t>
  </si>
  <si>
    <t>Laforest</t>
  </si>
  <si>
    <t>6 de Junio. El General Hedonville ha llegado aquí el 22. El 24 comió encasa del Ministro de Francia Mr. Laforest, y al dia siguiente con el Ministro de Estado Mr. de Hartemberg: hoy se habrá presentado á S. M. en el palacio de Carlottemburgo. Han salido de madre, causando increíbles daños, t</t>
  </si>
  <si>
    <t>Laforet</t>
  </si>
  <si>
    <t>las desavenencias actuales de la Francia y de la Rusia, para el qual objeto ha traído nuevos planes Mr. Laforet de vuelta de sm viage á Maguncia. Estos planes se han comunicado á la Corte de Berlín, y no dexará de contribuir con su poderosa mediación á asegurar la pac continental. El i.° del c</t>
  </si>
  <si>
    <t>Lafosse</t>
  </si>
  <si>
    <t>legislativo se constituyó interinamente baxo la presidencia del mas anciano, el ciud. Lafosse.-Los miembros recien elegidos fuéron llamados sucesivamente, é hicieron el juramento de fidelidad á la constitución. Después de lo qual el Cuerpo legislativo d</t>
  </si>
  <si>
    <t>Lagrange</t>
  </si>
  <si>
    <t>n de honor á Mr. de Salm (ex-Príncipe de Salm); y á Mr. Pugal, para Tesorero de la misma cohorte. A Mr. Lagrange, para Canciller de la 10 cohorte; y á Mr. Dezazars, para Tesorero de la misma&lt; A Mr. Taiches de la Pugerie, antiguo caballero de S. Luis, para Canciller de la 15 cohorte; y para T</t>
  </si>
  <si>
    <t>Laguna, Tomás</t>
  </si>
  <si>
    <t>Tomás Laguna</t>
  </si>
  <si>
    <t>anato de Ubeda/Dignidad de la catedral.de Jaén , vacante por fallecimiento de D. Joaquín balazar, á D. Tomas Laguna, pensionándole en 6® rs. anuales á favor de la Real capilla de S. M.: para una Canongía de la colegial de Ubeda, en la diócesis de Jaén, por promoción de D. Pantaleon Alvarez Cren</t>
  </si>
  <si>
    <t>servido nombrar para la Dignidad de Tesorero de. la catedral de Plasencia, vacante por promoción de D. Tomas Laguna ál Árcedianató de Ubeda, Dignidad de la de Jaén, á D. Antonio Orduña y Zarzosa , Beneficiado de Sta. Olaya de la ciudad de Murcia. - En el regimiento de. infantería de Mallorca se</t>
  </si>
  <si>
    <t>Lagunas, Miguel</t>
  </si>
  <si>
    <t>Miguel Lagunas</t>
  </si>
  <si>
    <t>romoción de D. Josef Buíl á un Beneficio de la parroquia de S; Miguel de la oíuda'dr dé Zaragoza, á D. Miguel Lagunas: para otro de la parroquia de AÍco— niá , en la propia diócesis de Zaragoza, vacante por muerte de D. Raymundo Manuel de Hiera, á D. Cristóbal Iranzor para otro de la parroquia de</t>
  </si>
  <si>
    <t>Lahorie, General</t>
  </si>
  <si>
    <t>General Lahorie</t>
  </si>
  <si>
    <t>a. _Ha salido falsa la noticia de haber sido presos en Silesia, á petición del gobierno francés, el General Lahorie , y el Secretario Fresnieres. Casi todos los profesores de Goettinga han.recibido propuestas muy ventajosas de parte de algunos Soberanos, á fin de atraerlos á sus estados, donde</t>
  </si>
  <si>
    <t>Lajolais y Mr, General</t>
  </si>
  <si>
    <t>General Lajolais y Mr</t>
  </si>
  <si>
    <t>go le concedía la gracia que pedia.__..Igualmente han sino perdonados después Mr. de Riviere, el ex-General Lajolais y Mr. Bouvet de i'Osier , por mediaciónde las Princesas de la familia imperial, á súplica de las hermanas, hijas y parientes de estos reos. ^ ESPAÑA. Ma irid g de Julio*. El viernes de</t>
  </si>
  <si>
    <t>Lajolais, General</t>
  </si>
  <si>
    <t>General Lajolais</t>
  </si>
  <si>
    <t>ndo que la mayor parte de las preguntas eran insidiosas; y á pesar de que sufrió el careo con el ex-General Lajolais, Picot y Troche, siempre estuvo firme en la negativa. El 31 de Mayo hablaron los defensores de Lajolais , quienes pidieron una copia de la declaración dei gendarme Leroy , porque</t>
  </si>
  <si>
    <t>Lake de Muttra, General</t>
  </si>
  <si>
    <t>General Lake de Muttra</t>
  </si>
  <si>
    <t>l 23 de Setiembre. Añade la misma gazeta, que después de la toma de Agrá y de Delhi , se apoderó el General Lake de Muttra.__ El Marques de WeUesley, en una proclama dada el 13 de Setiembre, anunció haberse declarado la guerra entre Francia é Inglaterra. Las noticias de Ceylan,hasta el 28 de Setiembre</t>
  </si>
  <si>
    <t>Lake, Barón</t>
  </si>
  <si>
    <t>Barón Lake</t>
  </si>
  <si>
    <t>te de los exércitos de S. M. en la India Oriental, y á sus descendientes varones , con el título de Barón Lake, de Delhi y Laswary, y de Aston Clinton, en el Condado de Buckinghara. Igualmente ha nombrado el Rey Caballero de la Orden del Baño al Mariscal de Campo Arturo Wellesley. El fuert</t>
  </si>
  <si>
    <t>Lake, General</t>
  </si>
  <si>
    <t>General Lake</t>
  </si>
  <si>
    <t>le, por quanto el ataque ha durado tres dias seguidos.__ .El exército de Bengala á las órdenes, del General Lake estaba en marcha para-auxiliar al de Bombay, Tememos que esta guerra no se concluya tan pronto como se cree. Lo* máratas son sin duda los pueblos mas belicosos de la India, y no dex</t>
  </si>
  <si>
    <t>one han muerto 900___ Otras noticias de Calcuta, con fecha de 8 y 9 de .Setiembre,, anuncian que el General Lake ha empezado felizmente su campaña. El 2.9 de Agosto acometió las fuerzas el General Perón (francés}, quien se había fortificado cerca del fuerte de Ally-Ghur. Esta operación tuvo</t>
  </si>
  <si>
    <t>6 de Abril. La compañía de la India ha recibido noticias de la continuación de las operaciones del General Lake y del exército de Bengala----- EL fuerte de Aly-Ghur fué tomado por asalto el 8 de Setiembre : las tropas mostraron en esta ocasión el mas intrépido valor. La pérdida ha sido considerable</t>
  </si>
  <si>
    <t>s jornadas.__ También se han dado gracias públicas por el supremo gobierno de la India británica al General Lake, Comandante en gefe de las tropas de S. M. y de la compañía de la Inaia , por haber con una rápida serie de gloriosas victorias completado la derrota de un enemigo poderoso, conse</t>
  </si>
  <si>
    <t>de Lóndres del 9 contiene las noticias recibidas últimamente de la India----- El i.°de Noviembre el General Lake, después de una marcha,sin exemplar en tiempos antiguos y modernos,de 40 millas en 24 horas, acometió un cuerpo considerable de enemigos, compuesto de batallones destacados del De</t>
  </si>
  <si>
    <t>468 es creíble que las victorias del General Lake le hayan movido á aceptar condiciones de paz. £1 correo de Bombay del 2 * de Noviembre trae noticias del 14, que anuncian que el Generai Weliesley se hallaba en seguimiento del ex</t>
  </si>
  <si>
    <t>dei estado* GRAN BRETAÑA. Londres 28 de Abril. La gazeta de la corte del 21 contiene una carta del General Lake. al Marques de Welíesley , Gobernador general de la India, en que le da cuenta circunstanciada de la batalla de Cassawly , dada el j.° de Noviembre. Ha llegado esta noticia por la</t>
  </si>
  <si>
    <t>dia baxo las ordenes del gobierno ingles. En el Indostan, á las órdenes inmediatas y personales del General Lake, 3 regimientos europeos, y 5 de caballería dei país, 200 artilleros europeos, un regimiento europeo, y 11 batallones de infantería del país, cuyas fuerzas ascienden á 10,500 hombr</t>
  </si>
  <si>
    <t>l Marques de Weliesley. La misma junta decretó se ofreciese una espada de 1500 libras esterlinas al General Lake, y otra de 1® al General Weliesley. La conquista de Se</t>
  </si>
  <si>
    <t>co de 80, doce de 74, y cinco fragatas de 40. Los Oficiales del exército de Bengala han regalado al General Lake una vaxilla de plata del valor de 4$ libras esterlinas, en testimonio de su afecto y aprecio. Trabajando unos albañiles en casa del Capitán Ducan han encontrado debaxo de las teja</t>
  </si>
  <si>
    <t>Lalita, Joaquín</t>
  </si>
  <si>
    <t>Joaquín Lalita</t>
  </si>
  <si>
    <t>Supl., p. 16</t>
  </si>
  <si>
    <t>ierto la derrota. Buena; prueba de está verdad ofrece el viage siguiente. ^ EL ^Teniente de Fragata D. Joaquín Lalita, Comandante del paquebot Príncipe de Asturias « salió, de Manila para Tííúeva Españá en 25 de. Setiembre de 8 ote ; y desembocando eLEstrecho de San Bernardlrtov hizo jfumbo 4 las</t>
  </si>
  <si>
    <t>Lamadriz, Domingo</t>
  </si>
  <si>
    <t>Domingo Lamadriz</t>
  </si>
  <si>
    <t>anuel González y D. Vicente Martínez: á Subtenientes de compañía á los de bandera D. Luís Trevejos, D. Domingo Lamadriz y D. Bernardo Espert; y á Subtenientes de bandera á los Cadetes D. Josef Gregorio Castilla y D. Josef Cayetano Sastre, y al Sargento primero D. Andrés Perez. En el de infantería de Cu</t>
  </si>
  <si>
    <t>Lamata, Miguel</t>
  </si>
  <si>
    <t>Miguel Lamata</t>
  </si>
  <si>
    <t>cuerpo: Subtenencia de bandera en el segundo batallón de Voluntarios de Aragón al Sargento primero D. Miguel Lamata; y Subtenencia de granaderos en el regimiento de infantería suizo de Reding al de fusileros D. Bonifacio Yiitz. En el batallón de Voluntarios de Navarra se ha servido el Rey promo</t>
  </si>
  <si>
    <t>Lamberto Doven</t>
  </si>
  <si>
    <t>........... 141..25 Lamberto Doven................. S. Sebastian..................... 141. 25 Josef Martelo........... Martelo......... .................. .*4*"25 Tomas Estevez........</t>
  </si>
  <si>
    <t>Lambton</t>
  </si>
  <si>
    <t>homs.ó estados ingleses ,6 de 57*293,9 toesas francesas, que hacen 400.765,1' pies de España._Añade Mr. Lambton que la compañía de la India ha de-r terminado liberalmente que se continúen los triángulos hasta 708 grados de .latitud, para determinar con mas exactitud lo largo de los grados e</t>
  </si>
  <si>
    <t>Lami, Bernardo</t>
  </si>
  <si>
    <t>Bernardo Lami</t>
  </si>
  <si>
    <t>ncepción. Entretenimientos sobre las ciencias, escritos en francés por el R. P. Bernardo Lami, presbítero del oratorio: traducidos é ilustrados por D. Domingo Ugena, presbítero:esta obra presenta un plan exacto y sencillo para estudiarlas ciencias, y servirse de ellas con utilidad púb</t>
  </si>
  <si>
    <t>Lancáster, Ignacio</t>
  </si>
  <si>
    <t>Ignacio Lancáster</t>
  </si>
  <si>
    <t>o. El dia 2 del mes próximo anterior falleció-en esta corte , 4 los 69 años de edad , el Excmo. Sr. D. Ignacio Lancáster, Teniente general de los Reales exércitos , Comendador dé Peña de Martes en la orden de Galatrava, caballero Gran Cruz de la distinguida de Carlos 11 r, é Inspector general de Mil</t>
  </si>
  <si>
    <t>Landaeta, Vicente</t>
  </si>
  <si>
    <t>Vicente Landaeta</t>
  </si>
  <si>
    <t>ncos de Valencia 4-en la provincia de Venezuela, á los Tenientes D. Pedro Garrido , de ¡granaderos, D. Vicente Landaeta y D.; Josef Vicente Almarza; á Teuiente.de granaderos al de fusileros D- Josef Lobera j á Tenientes de fusileros á los Subtenientes D. Francisco Cazorla, de granaderos, D.; Martin Url</t>
  </si>
  <si>
    <t>Landazuri, Pedro</t>
  </si>
  <si>
    <t>Pedro Landazuri</t>
  </si>
  <si>
    <t>el Daza,D. Diegf ]fadara,D. RamónTrullol, Don Juan Olaegui, D. Víctor Vinader, D.,.Vicente de Lago, D. Pedro Landazuri, D. Joaquín de Soroa, D. Adriinti.Morquecho, D. Bartolomé Arguelles, D. Fernando Becerra, D. Rafkl Bovadillo, D. Josef Mendivil, I). Antonio Saavedra, D. Vicente Vallijcel, D. Jos</t>
  </si>
  <si>
    <t>Langhaus</t>
  </si>
  <si>
    <t>añas manantiales de agua, que jamas se habían visto. El maestro mayor de los edificios de la corte, Mr. Langhaus, leyó una memoria en la Academia de esta ciudad el dia del cumpleaños del Rey, donde, entre otras cosas , presentó el quadro comparativo de la extensión, y de la población actual</t>
  </si>
  <si>
    <t>Lannes, Mariscal</t>
  </si>
  <si>
    <t>Mariscal Lannes</t>
  </si>
  <si>
    <t>l 31. á I45 6 dé la mañana. saHó para ,.Aquicgrau.: También pasaron el mismo dia por esta ciudad el Mariscal Lannes, el Marqnes de '■Gallo, Embaxador de la Corte de Ñipóles, y el Embaxador de Portugal cerca de $. M. I., que pasan á Aquistaran. Un correo despachado por el ^Emperador desde- Bolon</t>
  </si>
  <si>
    <t>Lanterope</t>
  </si>
  <si>
    <t>de de Mcncenigo, componen una junta Imperial, que ha tv^mado todos los poderes civiles y militares. Mr. Lanterope está encargado especialmente de todo1 lo relativo á las costas de la Albania. ; 1 Las fuerzas navales Rusas en Corfú consistían, en u° de Setiembre, en 6 navios , 4 fragatas y 3 buq</t>
  </si>
  <si>
    <t>Lanz y Don, Juan Bautista</t>
  </si>
  <si>
    <t>Juan Bautista Lanz y Don</t>
  </si>
  <si>
    <t>D. Juan de’Vera, D. Pedro de Salazar, D. Felipe Esteller,, D. Josef del Viso, D. Jacinto Marcaida, D. Juan Bautista Lanz y Don; Francisco Ponce de León. Digesto teórico-práctico, ó Recopilación de los derechos Común, Real y Canónico, por los libros y títulos del Digesto, traducción iiteral ai castellano d</t>
  </si>
  <si>
    <t>Lapuchin, Príncipe</t>
  </si>
  <si>
    <t>Príncipe Lapuchin</t>
  </si>
  <si>
    <t>la comisión serán continuas, sin distracción alguna á otros objetos, y el Ministro de la Justicia, Príncipe Lapuchin, que forzosamente tiene otras atenciones, se informará de todo por medio de Mr. Novosilzow , que en atención á sus notorios conocimientos y talento está encargado de conferir con</t>
  </si>
  <si>
    <t>Laredo Gil de Bernabé, Gregorio</t>
  </si>
  <si>
    <t>Gregorio Laredo Gil de Bernabé</t>
  </si>
  <si>
    <t>Busto: para la del Tomelloso á D. Josef Antonio Martínez del Corro: para la del Campo de Criptana á D. Gregorio Laredo Gil de Bernabé: para la de Villaescusa de Haro á D. Gregorio Sancho Granado, todas en el territorio de la orden de Santiago: para la del Gobierno de la villa de Marios, territorio de la orden de</t>
  </si>
  <si>
    <t>Larrayad, Antonio</t>
  </si>
  <si>
    <t>Antonio Larrayad</t>
  </si>
  <si>
    <t>Esteban ; para otra de la parroquia de Fuentes de Ebro, diócesis de Zaragoza, vacante por muerte de D. Antonio Larrayad, á Don Joaquín Basa; para un Beneficio, llamado Refitolero, de la catedral de Gercna, vacante por fallecimiento de D. Bartolomé Roca, y por no haberle admitido D. Josef Bernich, q</t>
  </si>
  <si>
    <t>Larrondo, Juan Bautista</t>
  </si>
  <si>
    <t>Juan Bautista Larrondo</t>
  </si>
  <si>
    <t>Teniente Coronel del Regimiento de infantería provincial de Celaya, en el Reyno de Nueva—España , á D. Juan Bautista Larrondo , Capitán del propio Cuerpo. El Rey se ha servido conferir el Gobierno Militar y Político de. la colonia del Nuevo-Santander , en el Reyno de Nueva-España , al Teniente Coronel D.</t>
  </si>
  <si>
    <t>Lasauca, Andrés</t>
  </si>
  <si>
    <t>Andrés Lasauca</t>
  </si>
  <si>
    <t>la obra, á 22 rs. en rústica, y 30 en pasta. Se hallarán en el despacho de la imprenta Real. FJ Sr. D. Andrés Lasauca, del Consejo de S. M. en el supremo de Castilla, que despacha los autos de la ocurrencia de acreedores á los bienes del Sr. D. Pedro de Astrearena, Marques que fué de Murillo, por</t>
  </si>
  <si>
    <t>Lascari, Joaquín Antonio</t>
  </si>
  <si>
    <t>Joaquín Antonio Lascari</t>
  </si>
  <si>
    <t>catedral: para esta Ración á D. Manuel María Moreno, Medio-Racionero de ella; y para esta resulta á D. Joaquín Antonio Lascari., Cura de S. Luis Huamantla. Igualmente se ha servido S. M. nombrar para una plaza de Oidor de la Real Audiencia de Filipinas, vacante por renuncia de D. Antonio Rodríguez de Cárd</t>
  </si>
  <si>
    <t>Lasqueti, Luis</t>
  </si>
  <si>
    <t>Luis Lasqueti</t>
  </si>
  <si>
    <t>uan Ulloa., D. M-sariin Oarrichena , D. Manuel Bacaro, D. Antonio Bovadilla, D. Migu«i(li Martínez, D. Luis Lasqueti,Don Juan Latre, D. Tomas Urrecha, D: R.jmon Moyua, D. Ramón Torre, D. Manuel Berna!, D. Antonio Mañeáis D.Joaquín Elgueta, D. Francisco Sarachaga, D. Josef García Joves, ÍD- Migue</t>
  </si>
  <si>
    <t>Latorre, Vicente</t>
  </si>
  <si>
    <t>Vicente Latorre</t>
  </si>
  <si>
    <t>la Real capilla, titulada de la Concepción, de la catedral de Ostna , vacante por fallecimiento de D. Vicente Latorre , á D. Roque Gómez Naranjo: para la plaza de Sacristán mayor del Real y primer monasterio de rel'giosas de la Visitación de Ntra. Sra. de Madrid, vacante por jubilación de D. Dieg</t>
  </si>
  <si>
    <t>Latour, General</t>
  </si>
  <si>
    <t>General Latour</t>
  </si>
  <si>
    <t>de París le han precisado á abandonar este proyecto, y á acelerar su regreso á aquella capital. £1 General Latour mandará el campamento de Turas.</t>
  </si>
  <si>
    <t>Latre, Juan</t>
  </si>
  <si>
    <t>Juan Latre</t>
  </si>
  <si>
    <t>sariin Oarrichena , D. Manuel Bacaro, D. Antonio Bovadilla, D. Migu«i(li Martínez, D. Luis Lasqueti,Don Juan Latre, D. Tomas Urrecha, D: R.jmon Moyua, D. Ramón Torre, D. Manuel Berna!, D. Antonio Mañeáis D.Joaquín Elgueta, D. Francisco Sarachaga, D. Josef García Joves, ÍD- Miguel Valdasano, D.</t>
  </si>
  <si>
    <t>Laureano de las Fuentes</t>
  </si>
  <si>
    <t>ado Teniente del propio cuerpo al Teniente agregado al de Voluntarlos de España, quarto de húsares, D. Laureano de las Fuentes. Por el Ministerio de Hacienda de Indias se ha expedido,con fecha de 21 de Junio último, la Real orden siguiente. }**?•»■ „ Queriendo el Rey fomentar por todos los medios posibles</t>
  </si>
  <si>
    <t>Lauriston, General</t>
  </si>
  <si>
    <t>General Lauriston</t>
  </si>
  <si>
    <t>udad y de la fortaleza, se ha vuelto á Semendria muy irritado, y resuelto á vengar este agravio. El General Lauriston, Edecán del Emperador de los Franceses, no había aun llegado á Viena el 7 de este mes, como se había asegurado; pero se le esperaba, y se suponía que continuarla inmediatamente su</t>
  </si>
  <si>
    <t>Lauternau, Coronel</t>
  </si>
  <si>
    <t>Coronel Lauternau</t>
  </si>
  <si>
    <t>oronel Hausser ha sido nombrado Ayudante del Land-Amman; Mr. FinsLer, Qúartel-maestre- general ; el Coronel Lauternau, Inspector de artillería , y Alois- Reding , Inspector general. Se encuentran actualmente aquí muchos literatos Alemanes, Dinamarqueses y Suecos, que han venido á visitar el céleb</t>
  </si>
  <si>
    <t>Lavedan, Antonio</t>
  </si>
  <si>
    <t>Antonio Lavedan</t>
  </si>
  <si>
    <t>es que han escrito de esta materia, á fin, de que su uso no perjudique á la salud : por el referido D. Antonio Lavedan, á 15 rs. en pasta. Véndense en la librería de Gómez, calle de las Carretas. Estampa en medio pliego de marca mayor, que representa el retrato de Don Francisco Bayeu, primer Pinto</t>
  </si>
  <si>
    <t>Laville</t>
  </si>
  <si>
    <t>nes entre Mr. Didelot, Ministro de la República francesa, y el ministerio electoral. Se presume que Mr. Laville, Secretario de la legación francesa, que hizo u¡n vhaige-áParis y ficécon el objeto de recibir nuevas instrucciones. Después-de? su venida hay contestaciones muy freqüentes entre</t>
  </si>
  <si>
    <t>Lawley</t>
  </si>
  <si>
    <t>y que era indecente, pudiendo dar motivo á indecorosas alusiones sobre la indisposición de S. M___ Mr. Lawley propuso qué lá Cívmara^e separase.___Tomó la voz Mr. Fox y dixo: ,,Señor¿ creéjia Taltár á lo que debo á la Cámara, al*público, á S. M., y á la constitución, del Réyno, si aprobas</t>
  </si>
  <si>
    <t>Lawrence</t>
  </si>
  <si>
    <t>dencias del momento y dé las circunstancias; sino adoptando un sistema justo, prudente y firme. —El Dr. Lawrence conviene en este último punto con Mr. Wilberfoirce ; pero cree que solo en caso de Invasión 6 nueva rebelión seria necesaria la ley marcial; porque siempre es peligroso suspender</t>
  </si>
  <si>
    <t>Lázaro Arbañil</t>
  </si>
  <si>
    <t>............ 141-25 Lázaro Arbañil.................... Buenas Bodas...................... 14 Francisco Fernandez............ Torrijos............................ 141-25 Manuel Rodríguez..............</t>
  </si>
  <si>
    <t>Lázaro Dou, Ramón</t>
  </si>
  <si>
    <t>Ramón Lázaro Dou</t>
  </si>
  <si>
    <t>3l8 cimiento de D. Mariano Ambrosio Escudero, á D. Ramón Lázaro Dou*. para una Ganongía de la catedral de Gerona, vacante por muerte de I&gt;. Josef Nicolao, á D. Ramón Mirosa: para otra de la colegial de Borjadiócesis de Tarazona, vacante por fallec</t>
  </si>
  <si>
    <t>Lázaro Núñez</t>
  </si>
  <si>
    <t>nio de Urraza, dentro del término de 30 dias, contados desde el 19 del corriente. HabiendoTallecido D. Lázaro Nuñez, natural de Anguinses, en las islas Canarias, por el testamento que otorgó en el año de 1787 declaró estar debiendo á Don Ignacio Moreto, vecino del mismo pueblo, ó sus heredero»,</t>
  </si>
  <si>
    <t>Le Maur, Carlos</t>
  </si>
  <si>
    <t>Carlos Le Maur</t>
  </si>
  <si>
    <t>astellano; y por tercer premio se concedieron los elementos del. comercio traducidos al español por D. Carlos Le Maur.__ En la cátedra de agricultura se concediéron por premio de primera clase los dos tomos de la física de los árboles de Duhamel á los alumnos D. Antonio de la Peña, D. Patricio Pa</t>
  </si>
  <si>
    <t>Le-Suem</t>
  </si>
  <si>
    <t>lidarlo. Concluyóse la fiesta con el Te JDeiim, cuya música, y la de la misa, fuéron compuestas por Mr. Le-Suem*, director de la capilla imperial. A las tres de la tarde saliéren SS. MM. de la iglesia con la misma comitiva , y en el mismo orden con que habían venido. Por la noche hubo ilumi</t>
  </si>
  <si>
    <t>Leal, Tomás</t>
  </si>
  <si>
    <t>Tomás Leal</t>
  </si>
  <si>
    <t>servido conceder Subtenencias en el Regimiento de infantería de la Corona á los Sargentos primeros D. Tomas Leal, D. Melchor Fernandez y D. Sebastian Pereyra; y á los Cadetes D. Félix Arcos, Don Josef Perez, D. Juan Arguelles, D. Miguel de Sierra, D. Joaquín dé Sierra , D. Luis Carvajal, D.</t>
  </si>
  <si>
    <t>Leandro de Ocio</t>
  </si>
  <si>
    <t>' , -o • * . .) ;ii • A Tenientes de Naaiío lc¡¡í de Fragata D. Domingo Marcell, que ec^grsídmiado, D. Leandro de Ocio, que lo era igualmente, D. Josef CieafueggP'S 1 D. Josef María Blak, D. Simón Mesía, D. Josef Godoy, D. Manuel Scoroez, D.Manuel Arévalo , D. Josef Caballero, D. Gaspar Orue , D.n</t>
  </si>
  <si>
    <t>Leandro de Viana, Francisco</t>
  </si>
  <si>
    <t>Francisco Leandro de Viana</t>
  </si>
  <si>
    <t>la. El dia 3 del corriente falleció en el pueblo del Nuevo Bastan, de edad de 74 años, el limo. Sr. D. Francisco Leandro de Viana, Conde de lepa, del Consejo y Cámara de Indjas, Colegial mayor que fué en el d S. Bartolomé de Salamanca , habiendo servido á S, M. desde el año d 1756‘én los empleos de Fiscal de</t>
  </si>
  <si>
    <t>Leandro del Castillo</t>
  </si>
  <si>
    <t>óximo: lo que se avisa al público para evitar los perjuicios que de ignorarlo pudieran ocasionarse* D. Leandro del Castillo, del comercio de Sevilla, remitió en carta de 29 dé Setiembre próximo pasado á H. Josef de Zuricalday, vecino de Aracaldo, en el Señorío de Vizcaya, los vales Reales siguientes: 4</t>
  </si>
  <si>
    <t>Leandro Poblaciones</t>
  </si>
  <si>
    <t>o Henri. En América. Para el empleo de «Teniente de Rey de la plaza de Campeche ha nombrado S. M. á D. Leandro Poblaciones, Coronel del Real Cuerpo de Artillería. En la extracción de la Real lotería, ejecutada el lunes 5 del corriente, saliéron los números 68, 85 , 22 ¿'64 y 57; y con ellos han ganado</t>
  </si>
  <si>
    <t>Leandro Sepia y Oro</t>
  </si>
  <si>
    <t>nombrado S. M. Regidor honorario de la villa de Rio-** bamba, distrito de la Audiencia de Quito, á D. Leandro Sepia y Oro, Cacique principal y Gobernador de Indios de los pueblos de Lican y Macasi, en aquel partido y y ha conferido la Alcaldía mayor de Escuin- . tha y Guazacapan, en el Reyno de Goate</t>
  </si>
  <si>
    <t>Lebon, Manuel</t>
  </si>
  <si>
    <t>Manuel Lebon</t>
  </si>
  <si>
    <t>e en el de Algarbe á D. Pascual) de Molina; y á Portaestandarte en el de España ai Sargento primero D. Manuel Lebon. Asimismo se ha servido el Rey conferir el empleo de Coronel del regimiento de milicias provinciales de Badajoz á D. Josef Manuel de Villena, Conde de Via-Manuel. Por Escribanía d</t>
  </si>
  <si>
    <t>Lecchi, Coronel</t>
  </si>
  <si>
    <t>Coronel Lecchi</t>
  </si>
  <si>
    <t>ito, para hacer parte de la guardia del primer Cónsul, como Presidente de la República italiana: el Coronel Lecchi es el Comandante principal de este batallón; y el segundo el Teniente Coronel Brunetti. FRANCIA. . . : ' Ambires iG de Diciembre. En la aldea de Hoogreld , inmediata á Lieja,y á 3 l</t>
  </si>
  <si>
    <t>Leceta, Francisco</t>
  </si>
  <si>
    <t>Francisco Leceta</t>
  </si>
  <si>
    <t>D. Joaquín Miaño, Don Diego Ponce de León, D. Nicolás Rubín, D. Joaquin Sánchez, D. Rafael de Lobo, D. Francisco Leceta, D. Manuel Ocarol, Dv x\ntonio Magadan, D. Norberto de Mella, D. Juan de Bnstamante, D. Joaquin del Pollo Sagasti, D. Pedro Negréte, D. Manuel Abreü , D. Ignacio del Valle, D. Jos</t>
  </si>
  <si>
    <t>Lecierc, General</t>
  </si>
  <si>
    <t>General Lecierc</t>
  </si>
  <si>
    <t>SIpliegQSile'G^rdihifh^ á quien dcxó en aquella -ciudad. Ha si Lo Secretario' de toda confianza del General Lecierc en •Santo Domingo., de donde paso á ia Hayana, y desde allí á México con</t>
  </si>
  <si>
    <t>Leclerc, General</t>
  </si>
  <si>
    <t>General Leclerc</t>
  </si>
  <si>
    <t>lo Borghese con Madama Paulina Bonaparte, hermana del primer Cónsul, viuda del General Leclerc. Se cree que lleguen aquí muy pronto los esposos, para cuyo recibimiento se han hecho, en el palacio Borghese, espléndidos preparativos. Ha llegado á esta ciudad últimamente S. A.</t>
  </si>
  <si>
    <t>ejeros. El mulato Pethion es todavía mas hábil que Freron, sirvió en Francia, pasó á América con el General Leclerc , y desertó del exército francés al de los negros, cuya absoluta confianza poseería, si no fuera mulato. HOLANDA. Sciedam * de Marzo. La gazeta de Leyden había anunciado haber env</t>
  </si>
  <si>
    <t>Lecompte</t>
  </si>
  <si>
    <t>arde, se hizo la prueba, á presencia de un gran concurso de espectadores, en el patio de la casa de Mr. Lecompte, en Sceaux. Luego que llegó á la altura de 500 toesas el aeronauta Pauli, hizo dar á la máquina una vuelta, y pareció á los espectadores que baxaba al parage de donde había subido</t>
  </si>
  <si>
    <t>Ledran</t>
  </si>
  <si>
    <t>tiago. Observaciones de cirugía, á las quales se añaden muchas reflexiones muy útiles, escritas por Mr. Ledran. =2Tratado de las heridas de armas de fuego, del mismo autor.zrrTratado de operaciones de cirugía, aumentado con las operaciones que se hacen en el hombre muerto, de dicho autor.r</t>
  </si>
  <si>
    <t>Leen Bendicho, Francisco</t>
  </si>
  <si>
    <t>Francisco Leen Bendicho</t>
  </si>
  <si>
    <t>D. Felipe Gil de Taboada, Oidor de lá Chancillería de Granada : para !a de Oidor, que este dexa, á D. Francisco Leen Bendicho, Alcalde del crimen mas antiguo de la citada Chancillería; y para esta resulta á D. Joaquín Lorenzo Mozo. Ei Rey -se ha*servido nombrar para la plaza de Oidor de la Chancillería d</t>
  </si>
  <si>
    <t>Lefebu, General</t>
  </si>
  <si>
    <t>General Lefebu</t>
  </si>
  <si>
    <t>imíentp extraordinario. ^ :1 , Faris 7 de Marzo. . *1 Capitán General de la Guadalupe ha escrita al General Lefebu&gt; Senador, comunicándole. las noticias que en las gazetas inglesas de las Antillas se hanjpublicado acerca del estado do la Francia. También 1? k comunica el siguiente pasage: do u</t>
  </si>
  <si>
    <t>Lefebure</t>
  </si>
  <si>
    <t>uienes verán si ia cosa es posible, y en este caso de qué manera pueda explicarse.__Poruña carta de Mr. Lefebure, oficial mayor déla prefectura del departamento de Eure,, consta que Bissieu, -natural de la ciudad de Verneuil, tenia desde la edad de dos años el vientre considerablemente duro;</t>
  </si>
  <si>
    <t>Lefevre, General</t>
  </si>
  <si>
    <t>General Lefevre</t>
  </si>
  <si>
    <t>as juntas! Colegio electoral del departamento del Alto Rhin se han abierto banco la presidencia del General Lefevre, que hace algunos dias llego á estta cnidad. Antes de recordar á los electores reunidos las obligaciones dife su ministerio, y de manifestarles que la moralidad, las luces, servic</t>
  </si>
  <si>
    <t>Leglisa, Antonio</t>
  </si>
  <si>
    <t>Antonio Leglisa</t>
  </si>
  <si>
    <t>ro de granaderos D. Miguel Aloy; y en el de-Extremadura Ayudantía al Teniente, graduado de Capitán, D. Antonio Leglisa, y Tenencia al Subteniente de granaderos D. Tomas Rodríguez. El Rey ha nombrado Conductor del Real cuerpo de Artillería en el quarto. regimiento de la Corana á D. Joseph Sótelo, S</t>
  </si>
  <si>
    <t>Lehmann, Almirante</t>
  </si>
  <si>
    <t>Almirante Lehmann</t>
  </si>
  <si>
    <t>se dice, la esquadra 'Rusa, que se halla cruzando ahora en el mar del Nortea las órdenes del Contra-Almirante Lehmann. De quatro dias acá gozamos de un tiempo hermosísimo, del qual se aprovechan los labradores para encerrar sus granos: en algunos parages se ha hecho la recolección en tiempo de la</t>
  </si>
  <si>
    <t>Lemaur, Carlos</t>
  </si>
  <si>
    <t>Carlos Lemaur</t>
  </si>
  <si>
    <t>e oro. Los alumnos de matemáticas de primer año fueron pifiados con la obra de Matemáticas puras de D. Carlos Lemaur , y los|lie $;egnmdo con el Examen marítimo del Sr. D. Jorge Juan, y Suplemento d-e D- Pedro Enri, habiendo tocado ai Dr. Velazquez ambos premi^pgor su. doble examen. — El Sr. Dir</t>
  </si>
  <si>
    <t>Lemuel Gulliver, Capitán</t>
  </si>
  <si>
    <t>Capitán Lemuel Gulliver</t>
  </si>
  <si>
    <t>con los anteriores, en la librería de Alonso, frente á las gradas de S. Felipe, á 3 rs. Viages del Capitán Lemuel Gulliver á diversos países remotos, traducidos por D. Ramón Máximo Spartal*. tres tomos en 8.° con láminas: su precio 36 rs. en rústica. Se hallará en las librerías de Campo y de Barco: en</t>
  </si>
  <si>
    <t>Léon Alonso López</t>
  </si>
  <si>
    <t>as, y muger de Pedro Colmenero, dé oficio carpintero. Para percibir su herencia acudirá en Madrid á D. Léon Alonso López, calle de ios Autores, frente á la casa de Eórnos, junto al arco de id plazuela de Palacios én Toledo á D. Josef Vicente Morales, cura de ¡S. ¿Justo; y eft Yepes á los presbíteros</t>
  </si>
  <si>
    <t>León Benavides, Fernando</t>
  </si>
  <si>
    <t>Fernando León Benavides</t>
  </si>
  <si>
    <t>Camarero. El Rey se ha servido nombrar para el Corregimiento de letras de la ciudad de la Coruña á D. Fernando León Benavides: para el de la de Palencia á D. Josef Guillen de Toledo: para el de la de Marbeila á Don Josef Antonio de Mestas : para el de la de Lbeda á D. Josef Fernandez Quevedo: para el de</t>
  </si>
  <si>
    <t>León Crisol, Benito</t>
  </si>
  <si>
    <t>Benito León Crisol</t>
  </si>
  <si>
    <t>legial de Roa, diócesis de Osma, vacante por promoción de D. Miguel Labrador ¿i Canongía de ella, á D. Benito León Crisol, Capellán y Maestro de Ceremonias de la propia iglesia: para el Beneficio rural de Alocas y Gómez Cardeña, en ei arzobispado de Sevilla, vacante por muerte de D. Tomas Antonio del</t>
  </si>
  <si>
    <t>León de Lamo</t>
  </si>
  <si>
    <t>iera descendiente de D. Josef de Orlondo, que murió de Cónsul de España .en Genova, se presentara á D. León de Lamo, que vive calle de Barrionuevo, núm. 24, quarto 3.0, que tiene que comunicarle varias noticias. Se halla vacante el .partido de Medico de la villa de Menasalbas, dotado con 700 du</t>
  </si>
  <si>
    <t>León Rubio</t>
  </si>
  <si>
    <t>de Villosa.. 141-25 León Rubio'...................... . Cuesta.................................. 141-25 Esteban Rodriguez—.......... Toledo............................. *41-25</t>
  </si>
  <si>
    <t>León Salcedo</t>
  </si>
  <si>
    <t>.. ........ 141..25 León Salcedo-,....... ............. Casar................................ Pedro García............. Villaseca........ ................. 141-25</t>
  </si>
  <si>
    <t>León Torralbo</t>
  </si>
  <si>
    <t>Don Joaquín Ruj as,D. Francisco González y D. Francisco Diaz, y á los de bandera D. Julián Padilla, D. León Torralbo, D. Manuel VUlalba y Don Francisco García;y áSubtenientes de banderaá los agregados D. Nicolás Sabifion, graduado de Teniente, D. Josef López, D* Silvestre Ramírez y D. Felipe Car</t>
  </si>
  <si>
    <t>León, Juan</t>
  </si>
  <si>
    <t>Juan León</t>
  </si>
  <si>
    <t>141-25 Juan León............................. Almendralejo.................. 141-25 Josef García......................... Talavera.,........ -........ 141-25 Juan López..........................</t>
  </si>
  <si>
    <t>Leonardo del Monte</t>
  </si>
  <si>
    <t>arios de los Gobiernos é Intendencias de Guanajuato, Maracaybo y Arequipa á D. Manuel Perez Valdes, D. Leonardo del Monte y D. Antonio Luis Pereyra; y para Tenientes de Gobernador y Auditores de Guerra de Popayan y de la Comandancia general de las provincias internas de Nueva-Fspaña, á D. Francisco Xavie</t>
  </si>
  <si>
    <t>Leonardo Galli</t>
  </si>
  <si>
    <t>uevas indagaciones acerca de las'fracturas de la rótula y de las enfermedades relativas á ella, por D. Leonardo Galli: un tomo en 4.% a 38 rs. en pasta, y en papel finó á 36. Se hallarán en el despacho de la imprenta Real. Por el correo del r/ de Setiembre último remitieron lo$ Sres. Varanda é hi</t>
  </si>
  <si>
    <t>Leonardo Mier</t>
  </si>
  <si>
    <t>1. •25 6.a del i.° Calixto Sánchez.................... Vargas............................. 141. ,25 D. Leonardo Mier,Teniente. Llanes................. ........... p68.. 8 Antonio Reyes..................... Viandal........................... 141. •25 D. Martin Ferr-m , Subte Anacleto Fernandez...</t>
  </si>
  <si>
    <t>Leonardo Vidal</t>
  </si>
  <si>
    <t>á las 9 ^ la mañana, para que los discípulos de dicha Real escuela , D. Josef María García Rodrigo, D. Leonardo Vidal, D. Gregorio González AzaoU, D. Gabriel Fernandez Tabeada, D. Benito Tellez deMeneses y D.Estéban Demetrio Brúñete, hagan en el Real Laboratorio de Química, establecido en la call</t>
  </si>
  <si>
    <t>Leoncio del Olmo</t>
  </si>
  <si>
    <t>stades: dispuesto para consuelo de las familias cristianas, y de las almas temerosas dei Señor: por D. Leoncio del Olmo. Segunda edición. Se hallará á 5 rs. en pasta, y.3 en rústica, en la librería,de Novillo, calle de los Estudios Reales de 8. Isidro, y en su puesto,de las"gradas de S. Felipe. Dis</t>
  </si>
  <si>
    <t>Leones, Joaquín</t>
  </si>
  <si>
    <t>Joaquín Leones</t>
  </si>
  <si>
    <t>. Josef Pasalagua, D. Diego de Aguirre, D. Vicente Climent, D. Juan Albornoz, D. Joaquin de Toledo, D. Joaquin Leones, D. Julián Leones, D. Pedro Rato Cisneros, D. Justo Salafranca, D. Baltasar Cornelias, D. Josef Rodríguez Truxillo, D. Josef Pereyra, D. Santiago Mazarredo, D. Josef Mazarredo, D.</t>
  </si>
  <si>
    <t>Leones, Julián</t>
  </si>
  <si>
    <t>Julián Leones</t>
  </si>
  <si>
    <t>D. Diego de Aguirre, D. Vicente Climent, D. Juan Albornoz, D. Joaquin de Toledo, D. Joaquin Leones, D. Julián Leones, D. Pedro Rato Cisneros, D. Justo Salafranca, D. Baltasar Cornelias, D. Josef Rodríguez Truxillo, D. Josef Pereyra, D. Santiago Mazarredo, D. Josef Mazarredo, D. Juan de’Vera, D.</t>
  </si>
  <si>
    <t>Lerga, Joaquín</t>
  </si>
  <si>
    <t>Joaquín Lerga</t>
  </si>
  <si>
    <t>la parroquial de la villa de Getafe, vacante por fallecimiento de D. Francisco de Acedo y Torres, á D. Joaquín Lerga: para un Beneficio de la catedral de Lérida , baxo la invocación de S. Bartolomé y Sta. Margarita, vacante por muerte de Don Miguel Ribé, á D. Juan Prefaneta; y para el Préstamo d</t>
  </si>
  <si>
    <t>Leria, Francisco</t>
  </si>
  <si>
    <t>Francisco Leria</t>
  </si>
  <si>
    <t>pernumerarios D. JóséfPretel, D. Cristóbal Muñoz y D. Josef Alcayde, y á supernu■mérarió al‘Guardia D. Francisco Leria. Los tenedores de vales-dinero de la Tesorería de Consolidación , de la renovación de i.° de Enero, que hasta ahora no hayan acudido á la misma á presentarlos para su renovación ó</t>
  </si>
  <si>
    <t>Leruela, Juan Antonio</t>
  </si>
  <si>
    <t>Juan Antonio Leruela</t>
  </si>
  <si>
    <t>imple servidero de la parroquia de S. Salvador de la ciudad de Cuenca, vacante por fallecimiento de D. Juan Antonio Leruela, á D. Tomas González, catedrático de teología en el Seminario Conciliar de la propia ciudad. £1 Rey se ha servido promover á Sargento mayor del regimiento de infantería de Aragón</t>
  </si>
  <si>
    <t>Lesmss Alonso</t>
  </si>
  <si>
    <t>141-25 Lesmss Alonso.................... Cabrera.......................... . 141-25 Josef Díaz................ Toledo.......................... 141..25 Miguel Torre.........</t>
  </si>
  <si>
    <t>Lesseps</t>
  </si>
  <si>
    <t>circular, lia participado al Cuerpo diplomático la salida del Encardado Francés. Aun permanece aquí Mr. Lesseps, Agenta deí comercio de aquélla nación; . [ J El Auditor del Nuncio Apostólico ha recibido también la orden de ausentarse de esta capital. Al finalizarse las últimas maniobras han</t>
  </si>
  <si>
    <t>Lesueur</t>
  </si>
  <si>
    <t>Napoleón 1 con Cario Magno,y le llama el restaurador del Imperio de Occidente. Paris 24 de Agosto. Mr. Lesueur, autor de la música de la ópera de los Bardos, ha sido nombrado miembro de la Legión de honor. Se trabaja con mucha actividad en los preparativos de la carroza destinada para la c</t>
  </si>
  <si>
    <t>Levet Harris</t>
  </si>
  <si>
    <t>50 * un ukase del Emperador, mandando que Mr. Levet Harris sea reconocido en calidad.de Cónsul de los-Estados-Unidos, cuya independencia declara S. M. I. haber formalmente reconocido.—Hasta ahora no había la Rusia considerado como potenci</t>
  </si>
  <si>
    <t>Levingston</t>
  </si>
  <si>
    <t>isipí. Se estaba construyendo en aquel astillero ona por el modelo de las napolitanas. Aseguran que Mr. Levingston, Ministro de los Estados-Unidos cerct del gobierno.francés, debe salir dentro de poco tiempo de París por falta de salud , y venir á la América. Igualmente se espera aquí á Mr. Pi</t>
  </si>
  <si>
    <t>Lewinston</t>
  </si>
  <si>
    <t>a la Princesa Sapieha, los 3 Embajadores Americanos que sucesivamente ha habido en esta residencia, Mr. Lewinston, que la dexa, Mr. Monroe, que lo reemplaza. También asistid Mr..de la Fayette. Reyno en la mesa la cordialidad mas franca , una alegría suave y decente entre 50 convidados reunido</t>
  </si>
  <si>
    <t>Lewis</t>
  </si>
  <si>
    <t>l inuríéron dos oficiales y algunos soldados por la fuerza del calor, nuestras tropas, mandadas por Mr. Lewis, acometiéron al enemigo en número considerable, y fuéron completamente derrotados después de un terrible combate. El exército se portó con gran valor, y se distinguiéron entre otr</t>
  </si>
  <si>
    <t>Lewis, Capitán</t>
  </si>
  <si>
    <t>Capitán Lewis</t>
  </si>
  <si>
    <t>a en la plaza con 20© hombres, se concluyó la paz sin que tuviéramos que tirar ni un cañonazo. . El Capitán Lewis, Secretario particular del Presidente, y el Capitán Glarcb , han pasado últimamente por Tennesée , volviendo á subir el Misisipí para examinar el territorio menos conocido de la L</t>
  </si>
  <si>
    <t>Libarona, Pedro</t>
  </si>
  <si>
    <t>Pedro Libarona</t>
  </si>
  <si>
    <t>Manuel Novales Ancostrena , Dean que fué de Lugo; á Jos herederos de D. Joaquín de Lorza ; á los dé D. Pedro Libarona, y á los de Doña Mariana Mendez, vecina ..deQuito, para que en término de un año, perentorio y .preciso, contado desde la .publicación de este aviso,"comparezcan, por sí ó por pro</t>
  </si>
  <si>
    <t>Liborio González</t>
  </si>
  <si>
    <t>tes á los-Cadetes D. Josef Suarez , D. Carlos-Vidal y D. Pedro Regalado Loy? al*Soldado distinguido D. Liborio González , y al Sargento primero D. Antonio Martínez de León., También se ha servido S. M. nombrar .GapellaheS etí dos regimientos de infantería de León y Ultoiña á los presbíteros JD.:Man</t>
  </si>
  <si>
    <t>Lie, General</t>
  </si>
  <si>
    <t>General Lie</t>
  </si>
  <si>
    <t>or de Rusia ; la Condesa de Woronzoff y de BíotagofiVdarna de honor de aquella corte imperial, y el General Lie ven, , con oíros mu*^ ehos sugetos distinguidos de la misma nación. ‘ , , Roma 1* de Febrero, . í: Ha llegado á esta , ciudad. Monseñor . Micael Dahaer^Rajtríarca dé iá Siria, con</t>
  </si>
  <si>
    <t>Ligero, Joseph</t>
  </si>
  <si>
    <t>Joseph Ligero</t>
  </si>
  <si>
    <t>rés Martínez de Aparicio, En Toledo.............. Sres. Chavarri y Posadillo. En Toro.............. D. Joseph Ligero. En Valencia.......... D. Francisco Peyrolon y compañía. En Valladolid.......D. Francisco de Durango é hijo mayor. &gt; En Zamora...... ..... D. Vicente Perez de Tejada. En Zaragoza.</t>
  </si>
  <si>
    <t>Andrés Martínez Aparicio. En Toledo.............Sres. Chavárri y Posadíllól En Toro................ D. Joseph Ligero. ■'■•h En Valencia....... Sres. D. Francisco Peyrolon y compañía. En Valladolid......D. Francisco Durango é hijo mayor. En Zamora........... D. Vicente Perez de Tejada. En Zaragoz</t>
  </si>
  <si>
    <t>Lilieur de Viüesurancé</t>
  </si>
  <si>
    <t>ncia en da' Gazeta de la Corte , se leen ios nombres-del Conde del Imperio Mr. Felipe Stadion, y de Mr. Lilieur de Viüesurancé, Sub-comisario de Relaciones comerciales de Francia*. En Dinamarca se ha prohibido á los Judíos enterrar á sus muertos hasta 3 días despties de su. fallecimiento. ’ * : ■ ■ " ' Vi</t>
  </si>
  <si>
    <t>Linde</t>
  </si>
  <si>
    <t>y esperamos coger frutos preciosos de las tareas de unos hombres tan distinguidos por su mérit'V El Dr. Linde, Director del liceo de Varsovia, está trabajando io anos hace, con el mayor zelo, un diccionario Esclavón, el qual promete documentos apreciables, y miras, enteramente nuevas, par</t>
  </si>
  <si>
    <t>Lindo</t>
  </si>
  <si>
    <t>anunciaba la mejoría de S. M., quien continuó en el mismo estado los dias siguientes. El negociante Mr. Lindo, que pasó á Francia algún tiempo hace para recoger una considerable suma que le debía el gobierno francés , se ha restituido á esta capital. Durante su mansión en París ha sido mu</t>
  </si>
  <si>
    <t>Liniers y Menibielle, Luis</t>
  </si>
  <si>
    <t>Luis Liniers y Menibielle</t>
  </si>
  <si>
    <t>ido, D. Tomas Cisca r y Orióla y D. Sébastiáiír:Bufler y Henriquez, D. Francisco Ris.tori y Medina, D. Luis Liniers y Menibielle, Don Santiago Soroa y Soroá, D* Carlos Vaicárcel y RosiqueyD. Juan Carranza y Vivero , D. Juan Torrontegui Fernandez de Landá , rD. Ambrosio Cerdan y Encalada, . D.*Juan Balzola y</t>
  </si>
  <si>
    <t>Lino Mahamud de Buedo</t>
  </si>
  <si>
    <t>trón: para una Ración de la misma catedral, vacante por fallecimiento de D. Fermín Perez Piñuela, á D. Lino Mahamud de Buedo: para otra Ración de la colegial de Covarrúbias , diócesis de Burgos, vacante por muerte de D. Domingo Bernal, á D. Miguel Olalla; y para el Beneficio mayor simple servidero del l</t>
  </si>
  <si>
    <t>Lino Nepomuceno Gómez Galvan</t>
  </si>
  <si>
    <t>ral de la Puebla de los Angeles , vacante por fallecimiento de D. Juan Ignacio Vega y Caballero , á D. Lino Nepomuceno Gómez Galvan , Racionero de la. misma catedral: para esta Ración á D. Manuel María Moreno, Medio-Racionero de ella; y para esta resulta á D. Joaquín Antonio Lascari., Cura de S. Luis Huamantla</t>
  </si>
  <si>
    <t>Lino Urbina</t>
  </si>
  <si>
    <t>iigera se ha servido igualmente S. M. promover á Ayu dante en el de cazadores de Pavía al Teniente D. Lino Urbina; y á Alíérez del de húsares de Lusitania al Sargento primero D. Lorenzo Salguero. En atención á los distinguidos servicios de D. Manuel García de la Prada , Comisario Ordenador ho</t>
  </si>
  <si>
    <t>Linois, Almirante</t>
  </si>
  <si>
    <t>Almirante Linois</t>
  </si>
  <si>
    <t>en operaciones belicosas los fondos destinados á objetos mercantiles. No se sabe donde se halla el Almirante Linois. Llegó á Madras el 12 de Julio; y últimamente se ha dicho que habia pasado á la isla Mauri</t>
  </si>
  <si>
    <t>s cartas de Batavia anuncian haber llegado allí en buen estado la esquadra francesa, mandada por el Almirante Linois, cuya presencia en aquellos mares no dexará de causar sobresalto al enemigo. Luego que llegó un correo de París, de donde salió el domingo por la noche, el gobierno aió varias órd</t>
  </si>
  <si>
    <t>línea ingleses y 3 fragatas, y anciá-s ron cerca de la esquadra francesa, con cuyo motivo el Contra-Almirante Linois, dexando en Pondicheri 50 hombres y las mugeres ya desembarcados , á media noche pico los cables y se encaminó á la isla de Francia, .donde á los 25 dias se encontraba su esquadra</t>
  </si>
  <si>
    <t>Linoís, Almirante</t>
  </si>
  <si>
    <t>Almirante Linoís</t>
  </si>
  <si>
    <t>o la vida ai primer Cónsul. París J4 de Mafzo. Se han recibido noticias directas de la esquadra del Almirante Linoís. A su salida de Brest sufrió un viento recio, que separó tres barcos de transporte, y una fragata , la que en lugar de hacer escala en Falsebay, tuvo que hacerla en Foullepointe'e</t>
  </si>
  <si>
    <t>ficultad ni demora. Por un navio americano llegado dé Virginia se ha esparcido la noticia de que el Almirante Linois se ha apoderado de la isla de Sta. Elena. Dícese que UQ cúter de la esquadra de Cornwailis examinó el 16 de</t>
  </si>
  <si>
    <t>el Capitán general Decaen como por los trabajos que mandó hacer en el a desde su llegada. El Contra-Almirante Linois acaba de salir para un crucero con la división que manda.__ La víspera^ del día en que salió el Geógrafo, entró en la isla de Francia un navio ingles de i $00 toneladas forrado en</t>
  </si>
  <si>
    <t>bo ha quedado casi sin tropas. Créese que la. expedición obrará de inteligencia con la esquadra del Almirante Linois, y que este ha señalado el parage donde deben reunirse. La un iversidad de Cambridge ha propuesto dos premios dé 15 guineas cada uno á los que escriban los mejores discursos en pr</t>
  </si>
  <si>
    <t>un convoy. ' .j -.¿ El Conde de .Spencer apoya lo dicho por el Conde de Cariisle;, y dice que si el Almirante Linois no hubiese sabido el rompimiento antes que nuestro Almirante Rainier, no hubiera este último dexado escapar á su enemigo. Después de hablar algunos vocales, se vota sobre la propu</t>
  </si>
  <si>
    <t>quadras bátava y francesa de la India, se han separado , dirigiéndose la primera á Batavia. Dexó el Almirante Linois solo 150 hombres en Pondichery, quienes no podían oponer mucha resistencia á los ingleses que la reconquistaron. HOLANDA. Haya y) de Junio. En Rotterdam y otros puertos están armá</t>
  </si>
  <si>
    <t>tad, y para renovar los tratados existentes entre ambas, potencias. Según noticias, la esquadra del Almirante Linois, se hallaba en el estrecho de Sonda la segunda semana de Marzo. Componíase de un navio* de 80,dos de 74, y de dos de 44, holandeses, con algunas fragatas y corbetas. El 10 de Juli</t>
  </si>
  <si>
    <t>e artilleros para el campamento de Utrech. Después ^ue se ha sabido con certeza en Amsterdam que el Almirante Linois ha apresado en los mares de las Indias 8 buques inglese cargados de té, ha tomado aquí un precio muy alto este articulo de comercio. Amsterdam i 8 de Julio. El Gobernador del Cabo</t>
  </si>
  <si>
    <t>el Senado con la de 7. El Capitán del navio Sally, recien venido de la Isla de Francia, dice que el Almirante Linois había vuelto á aquella isla el i.° de Abril, quien había encontrado la flota Inglesa procedente déla China,escoltada de ó navios de línea; y que 20 dias ántes de salir el Sally, s</t>
  </si>
  <si>
    <t>a expedición: unos la creerán dirigida contra Irlanda : otros la juzgarán destinada á unirse con el Almirante Linois en ios mares de la India; y otros en fin pensarán que su objeto era reunirse con la esquadra de Tolón , ó hacer levantar el bloqueo de Rochefort. Pero quaiquiera que sea su destino,</t>
  </si>
  <si>
    <t>compuesta de 16 velas. Salió de Cantón el ? de Febrero sin convoy: el 15 ael mismo mes encontró al Almirante Linois delante de Pulo Auro, con quien combatió durante media hora. Ha habido un hombre muerto y otro herido á bordo del navio el Real Jorge, que es el fínico que ha padecido en el combate.</t>
  </si>
  <si>
    <t>noticias que se.han recibido de la India. Por cartas escritas del fuerte Malborough se sabe que el Almirante Linois se presentó en aquella isla el i.° de Diciembre con 4 navios; pero habiendo sido reconocido como enemigo por algunos individuos de la factoría, se tomaron inmediatamente todas las</t>
  </si>
  <si>
    <t>ndia, para recompensar el zelo y el valor con que la flota de la China ha combatido la esquadra del Almirante Linois, han decretado varias cantidades al Capitán Dance, y á los demas Oficiales que han defendido la flota. Ai Capitán Dance se le han señalado 2® guineas, y ademas una pieza de vaxill</t>
  </si>
  <si>
    <t>a isla de Francia con el navio Sally, se ve, como ya lo han publicado los papeles Franceses, que el Almirante Linois había dicho al llegar á dicha isla, que.no debía maravillarse hubiese rehusado el combate con fuerzas superiores, hallándose nuestra flota protegida por 5 navios de línea. ¿Cómo p</t>
  </si>
  <si>
    <t>e la Isla de Francia en 97 dias de travesía. A su salida de allí, quedaban 7 navios mandados por el Almirante Linois: á saber, el Marengo de 84 cañones, 5 fragatas y una corbeta , que se disponían á hacer un crucero de allí á pocos dias. En la mañana que dicho navio se hizo á la vela, entráron 2</t>
  </si>
  <si>
    <t>Linois, General</t>
  </si>
  <si>
    <t>General Linois</t>
  </si>
  <si>
    <t>m 22 de Junto. Las noticias de la India y del Cabo de Buena-Esperanza hablan de nuevos triunfos del General Linois contra los ingleses. Muchos oficiales acaban de conseguir plazas en el batallón de hottentotes, que actualmente forma en el Cabo de Buena-Esperanza el Gobernador general Janssens.</t>
  </si>
  <si>
    <t>Lirón, Joaquín</t>
  </si>
  <si>
    <t>Joaquín Lirón</t>
  </si>
  <si>
    <t>ería se ha servido el Rey nombrar por Ayudantes mayores á los Capitanes segundos D. Benito Aballe , D. Joaquín Lirón, D. Luis Menendez y D. Joaquín Hidalgo Barquero; y por Tenientes de Artilleros á caballo á los Tenientes de infantería D. Manuel Domínguez y D. Luis Sotomayor. ( En los regimiento</t>
  </si>
  <si>
    <t>Lison, Bartolomé</t>
  </si>
  <si>
    <t>Bartolomé Lison</t>
  </si>
  <si>
    <t>,á los Tenientes D. Francisco Cl.os, D. Tomas Corrochano, D,. Rafael Villar,, graduado de Capitán, D. Bartolomé Lison, de granaderos, D. Joaquín Goyena, idem, D. Josef AHllasante, idem, D. Mariano Caro y D. Pedro Osorio: á Tenientes de granaderos á los de fusileros D. Josef Fernandez Reguera, D.</t>
  </si>
  <si>
    <t>Lista y Aragón, Alberto</t>
  </si>
  <si>
    <t>Alberto Lista y Aragón</t>
  </si>
  <si>
    <t>ínteres á esta respetable asamblea. La sesión se abrió por un eloquente discurso, que leyó el socio D. Alberto Lista y Aragón, pro-Censor, sobre el influxo del estudio de las humanidades en la moral. A continuación, el socio D. Josef María Blanco leyó una oda, que intituló el triunfo de la beneficencia ,</t>
  </si>
  <si>
    <t>Listón</t>
  </si>
  <si>
    <t>oración fúnebre, y los músicos del teatro cantaron un himno á su gloria. Copenhague 20 de Febrero. Mr. Listón, Ministro de Inglaterra, saldrá de aquí el día 4 del mes próximo para su nuevo destino. Ayer presentó á la familia Real á Mr. HUI, su sucesor. Han entrado ayer en este puerto much</t>
  </si>
  <si>
    <t>Litis Bonaparte, Príncipe</t>
  </si>
  <si>
    <t>Príncipe Litis Bonaparte</t>
  </si>
  <si>
    <t>ibirle, y le acompañó hasta su palacio, con los mas vivos aplausosJ .. • Turin 28 de Agosto» „ &lt; El Príncipe Litis Bonaparte, Condestable del Imperio * se halla des—. 4e el! 15 d e Agosto en esta c iudad, adonde ha venid» á presidir la asamf blea electoral del departamento del Po. Laséntrada que ejste P</t>
  </si>
  <si>
    <t>Livicgston</t>
  </si>
  <si>
    <t>n un gran testimonio de benevolencia. Acaba de publicarse aquí la carta que escribió, últimamente á Mr. Livicgston, Presidente de la Academia de las Artes, en contestación á la súplica que este le habia hecho de que se dignase admitir el nombramiento de miembro agregado de esta Academia. La ca</t>
  </si>
  <si>
    <t>Livingston</t>
  </si>
  <si>
    <t>tar el exército. No creemos deba darse mucho crédito á las voces que han corrido estos dias, de que Mr. Livingston, pariente del Ministro americano en París, ha venido de Francia con propuestas de paz. Dudamos de que Bonaparte se valga de este medio para tratar con nuestro gobierno: bien que p</t>
  </si>
  <si>
    <t>su testamento para la inclusa de esta capital 3® pesetas, que ha remitido Madama de Stael, su hija. Mr. Livingston, Ministro plenipotenciario de los Estados-Unidos, ha dado el 4 del corriente una gran comida á sus compatriotas residentes en Paá'is, en celebridad del aniversario de la independe</t>
  </si>
  <si>
    <t>bordo de los diferentes navios de guerra. Se han recibido noticias de América hasta el 24 de Junio. Mr. Livingston, habiendo hecho dimisión de su ministerio cerca de la República Francesa, el General Armstrong, de Nueva-Yorck, ha sido nombrado su sucesor. Mr. Thornton, Secretario de la Legació</t>
  </si>
  <si>
    <t>Livinstingon</t>
  </si>
  <si>
    <t>88; fendia la conducta que Mr. Livinstingon, Embaxador en París, había tenido con aquel Gobierno. Gerónimo Bonaparte ha abandonado ya su proyecto de venir á Europa, y se propone viajar por los Estados-Unidos, y visitará, en</t>
  </si>
  <si>
    <t>Lizarza, Manuel</t>
  </si>
  <si>
    <t>Manuel Lizarza</t>
  </si>
  <si>
    <t>ariano Leones, D. Josef Nuñez, D. Francisco Enrile, D. Juan Gaideano, D. Josef Burgués de Mesiessi, D. Manuel Lizarza, D. Josef Aznar y ¿.Francisco Simón Perez de Grandallana. A Alféreces de Navio los de Fragata' D. Juan Patricio Fournier, D. Luis Pedro Broysgroller, D. Carlos D’esmarest, D. Dieg</t>
  </si>
  <si>
    <t>Llamado Guttemberg</t>
  </si>
  <si>
    <t>premio para el que hiciere el mejor elogio de Juan Gaensfleisch de Sorgenloch, Llamado Guttemberg, natural de esta ciudad, y uno da los inventores de la imprenta. EL premio sera una medalla de oro de 240 pesetas con la eílgíc del mismo Guttemberg en ella. También ha deterdeber algún re</t>
  </si>
  <si>
    <t>Llanes, Manuel</t>
  </si>
  <si>
    <t>Manuel Llanes</t>
  </si>
  <si>
    <t>sexto de Húsares, se ha dignado el Rey promover &lt;i Tenientes á los Alféreces de los mismos cuerpos D. Manuel Llanes, y D. Josef Mariano Fernandez, este graduado de Teniente. En ios regimientos Provinciales ha promovido S. M. á Teniente de granaderos del de Bujalance al de fusileros D. Francisco</t>
  </si>
  <si>
    <t>Llanos, Luis</t>
  </si>
  <si>
    <t>Luis Llanos</t>
  </si>
  <si>
    <t>e la industria, y de consiguiente el aumento de ía riqueza de la nación: continuó el primer Censor, D. Luis Llanos, con el elogio del Soberano, y leyó después el primer Secretario D. Andrés Crespo Cantolla el extracto de las actas de la Sociedad desde la última junta pública. Pasóse de seguida</t>
  </si>
  <si>
    <t>Llansoj, Francisco</t>
  </si>
  <si>
    <t>Francisco Llansoj</t>
  </si>
  <si>
    <t>ta de D. Neófilo Miranda á D. Hipólito Gutierre?, dándole cuenta de este proyecto. Publícala el Dr, D. Francisco Llansoj, primer, Médico de la villa áe Alcira, socio íntimo de la Real Academia de Medicina práctica de Barcelona y de la de Cartagena. La salud pública y la dignidad de las ciencias hace</t>
  </si>
  <si>
    <t>Llola, Ramón</t>
  </si>
  <si>
    <t>Ramón Llola</t>
  </si>
  <si>
    <t>GH; y en los de la Reyna, Valencia y Murcia á los Cadetes D. Ramón Cota, D. Francisco Menor López, D. Ramón Llola&amp;bregat y D- Joaquín de Eguia, este último del de Voluntarios de Estado. En el segundo batallón de Voluntarios de Aragón se ha servido S.M. promover á Subteniente de bandera al Cad</t>
  </si>
  <si>
    <t>Llórente, Vicente</t>
  </si>
  <si>
    <t>Vicente Llórente</t>
  </si>
  <si>
    <t>Rey el empleo de Sargento mayor del fuerte de S. Carlos dei Perote, en el reyno de Nueva-España, a D. Vicente Llórente, que lo era del batallón Provincial de Guadalaxara en el propio reyno. Habiendo tenido el Rey por conveniente dividir la Comandancia general de las Provincias internas de Nueva-Es</t>
  </si>
  <si>
    <t>Lobera, Santiago</t>
  </si>
  <si>
    <t>Santiago Lobera</t>
  </si>
  <si>
    <t>ha servido promover á Teniente en el Regimiento de infantería de Soria al Subteniente de granaderos D. Santiago Lobera; y á Subtenientes de bandera en el de Córdoba á D. Cayetano Salarangue; y en el de Zaragoza á D. Benito Ric y D. Gerónimo Delgado , Cadetes de los mismos Cuerpos. S. M. se ha serv</t>
  </si>
  <si>
    <t>Lobo, Pedro</t>
  </si>
  <si>
    <t>Pedro Lobo</t>
  </si>
  <si>
    <t>D. Julián Sarmiento y D. Alfonso Tomico; á Tenientes de ios de Píasencia y Avila d los Subtenientes D. Pedro Lobo, D. Josef Barbachano , D. Tomas de Soldevilla, y D. Mariano de Becerrii; á Subteniente de granaderos del de Cuenca al de fusileros D. Benito Ramos Novillo ; y á Subtenientes de ba</t>
  </si>
  <si>
    <t>Lobo, Rafael</t>
  </si>
  <si>
    <t>Rafael Lobo</t>
  </si>
  <si>
    <t>ci fuego, y nosotros también. Volvióá pedir el bote,y lo enviamos alas órdenes del Alférez de Navio D. Rafael Lobo, quien pasado un quarto de hora volvió con un papel del Comandante del navio, en que intimaba al nuestro regresase con él á la esquadra que cruza delante de Cádiz, que tenia la or</t>
  </si>
  <si>
    <t>Loeches, Manuel</t>
  </si>
  <si>
    <t>Manuel Loeches</t>
  </si>
  <si>
    <t>141..25 Manuel Loeches................... Alvarez........................... l4* •25 Antoni; Hernández............. Ocaña............................... 141..25 Francisco Gómez..,.;.......</t>
  </si>
  <si>
    <t>Loffer-Witeks</t>
  </si>
  <si>
    <t>Juliers y Señor de Ravenstem, que S. A. E. habia usado anteriormente. f-Tjmburgo 2 de Diciembre. El Dr. Loffer-Witeks, Consejero ruso , ha descubierto, en la semina de una planta aquática, un equivalente del café. Ha enviado á Peters</t>
  </si>
  <si>
    <t>Lohmann</t>
  </si>
  <si>
    <t>Hamburgo 24 de Agosto. Escriben de Copenhague, con fecha de 18 del Corriente, que lia lle*gado allí Mr. Lohmann, Contra-Almirante al servicio de Rusia,con tres buques de guerra, una fragata y dos cúters, y que seguirá su rumbo luego que haya hecho provisión de agua. El dia-9 de Julio, anive</t>
  </si>
  <si>
    <t>Lokman, Almirante</t>
  </si>
  <si>
    <t>Almirante Lokman</t>
  </si>
  <si>
    <t>amarca salió el 11 de Ludwigshut para restituirse á Copenhague. La esquadra Rusa, á las órdenes del Almirante Lokman, se hizo á la vela para^Revel el dia 6 del corriente. El Barón de Armfelt se hallaba todavía el día 9 en Stralsund con SS. MM. Suecas. El General Barón de Cedestrom habia salido a</t>
  </si>
  <si>
    <t>Lombard</t>
  </si>
  <si>
    <t>en París. Como la temperatura actual hace temer que en adelante haya un tiempo riguroso , aconseja Mr. Lombard, autor del Manual necesario al aldeano para cuidar las abejas, á los dueños ó arrendatarios de árboles frutales, que tengan preparadas las esteras ú otro género de cubiertas para</t>
  </si>
  <si>
    <t>Lomo, Pedro</t>
  </si>
  <si>
    <t>Pedro Lomo</t>
  </si>
  <si>
    <t>ra el Beneficio simple servidero del lugar de Becedas, Diócesis de Plaséncia, vacante por muerte de D. Pedro Lomo, á D. Atilano Martínez / Sochantre segundo de la Real:Iglesia Colegial de S. Ildefonso; y para los Beneficios simples de S. Martín de Bombón y Melgainures, en dicha Diócesis de Za</t>
  </si>
  <si>
    <t>Longden de Ratclifií Highway</t>
  </si>
  <si>
    <t>curado de un terrible reumatismo que le molestaba infinito, con un excesivo exercicio á pie, un tal Mr. Longden de Ratclifií Highway, que sufría muchos años hacia de la gota, se propuso curarse de ella por el mismo medio. Apostó que iría á pie desde su casa hasta Boston, en Lincolnshire, que está 117 millas dis</t>
  </si>
  <si>
    <t>Lope de Peñaranda</t>
  </si>
  <si>
    <t>a de Santiago , por fallecimiento de D. Josef de Guevara &lt;Va sconcelos, quiero que* pase á servirla D. Lope de Peñaranda, respecto de c^ue siendo la que obtiene correspondiente á la de Calatrava, la está sirviendo con el hábito de Santiago; y para la que resulta en la expresada Orden de Calatrava, n</t>
  </si>
  <si>
    <t>Lope, Manuel</t>
  </si>
  <si>
    <t>Manuel Lope</t>
  </si>
  <si>
    <t>s y Amat; y para un Beneficio de la Parroquia de Alagón, Diócesi de Zaragoza&gt; vacante por muerte de Don Manuel Lope , á D. Josef Larraz y Morana. En América. Para el empleo de nueva creación de Teniente Gobernador y Asesor del Gobierno de la isla ,4e la Margarita , jurisdicción de la Audiencia</t>
  </si>
  <si>
    <t>Lope, Ramón</t>
  </si>
  <si>
    <t>Ramón Lope</t>
  </si>
  <si>
    <t>uerpo de Ingenieros del exército ha promovido S. M. á Teniente Coronel al Sargento mayor de brigada D. Ramón Lope, graduado de Teniente Coronel. S. M. ha conferido la Tenencia de Rey de la plaza de Zamora al Teniente Coronel D. Juan Henifique Didier de Blum, Brigadier de* la Compañía Flamenca</t>
  </si>
  <si>
    <t>Lope, Tadeo</t>
  </si>
  <si>
    <t>Tadeo Lope</t>
  </si>
  <si>
    <t>el griego por D. Ambrosio Ruy Bamba: 3 tomos en 4.0, á 54 rs. en rustica. Curso de matemáticas, por D. Tadeo Lope, 3 tomos en 4°: el i.*8 **contiene lo * * * 6 *la aritmética universal, en pasta á 27 rs. El tomo 2.0 trata de la geometría plana y sólida , de la trigonometría plana y esférica,</t>
  </si>
  <si>
    <t>López Adan, Pedro</t>
  </si>
  <si>
    <t>Pedro López Adan</t>
  </si>
  <si>
    <t>e herederos de Juan Fernandez, á 600 rs. Otra en la Alobera, de 2 fan.,linde á oriente y sierra con Don Pedro López Adan, á mediodia Juan López Recio , á 350 rs. Otra en dicho parage de 2 fin., linde á oriente con herederos de D. Francisco Morales, a mediodía con la vereda*, y á poniente herederos d</t>
  </si>
  <si>
    <t>300 rs. Otra en los Malatones , de 3 fan. , linde á oriente herederos de Juan González, á mediodía D. Pedro López Adan, á poniente herederos de Manuela Aibiz, tí 2^0 rs. Otra en término de Fuente el Saz, en Capitos , de 1 fanega, linde á oriente capellanía de D. Ignacio Pérez, á mediodía herederos</t>
  </si>
  <si>
    <t>López Altamirano, Carlos</t>
  </si>
  <si>
    <t>Carlos López Altamirano</t>
  </si>
  <si>
    <t>a en la imprenta Real. Por auto de 18 del corriente, proveído por el limo. Sr. venerando Baylío Fr. D. Carlos López Altamirano, Caballero Gran Cruz del orden de S. Juan, Comendador de la de Zamayon, Mariscal de Campo de los Reales Exércitos de S. M., Lugarteniente de S. A. R. el Sermo. Sr. Infante D. Pedr</t>
  </si>
  <si>
    <t>López Conesa, Manuel</t>
  </si>
  <si>
    <t>Manuel López Conesa</t>
  </si>
  <si>
    <t>Regimiento de infantería de Córdobase ha servido S. M. promover á Subteniente de bandera al Cadete D. Manuel López Conesa; y á Teniente en el primer batallón de Voluntarios de Aragón al Subteniente D. Matías Arracó. En América. S. M. se ha dignado promover á Capitanes en el Regimiento de infantería R</t>
  </si>
  <si>
    <t>López de Ribas, Manuel</t>
  </si>
  <si>
    <t>Manuel López de Ribas</t>
  </si>
  <si>
    <t>io de Jnguanzo, del Consejo de S. M.# Alcalde de su Real Casa y Corte, y escribanía de provincia de D. Manuel López de Ribas, se ha mandado subastar por tercera vez, y término de 15 dias, y señalado para su remate el 20 del presente, á las doce de su mañana, una casa sita en la calle del Mediodía grande</t>
  </si>
  <si>
    <t>López de Segovia, Pedro</t>
  </si>
  <si>
    <t>Pedro López de Segovia</t>
  </si>
  <si>
    <t>del Cuzco, vacante por promoción de D. Manuel Josef de Reyes á plaza de Oidor de Buenos-Ay res , á D. Pedro López de Segovia; y para el Corregimiento de Mariquita, distrito del Vireynato de Santa Fe, a D. Manuel Santiago Vallecillas. S. M. se ha servido conferir el empleo de Teniente Coronel del Regimie</t>
  </si>
  <si>
    <t>López Fando, Juan</t>
  </si>
  <si>
    <t>Juan López Fando</t>
  </si>
  <si>
    <t>a de Carlos 111, del Consejo de S. M., Teniente Corregidor de esta villa, y escribanía de numero de D. Juan López Fando, y que actualmente exerce D. Félix Pico de Haedo, en virtud de Real habilitación, se han mandado sacar á pública subasta, por término de 15 dias, las tierras que están situadas en</t>
  </si>
  <si>
    <t>López Fando, Juan Manuel</t>
  </si>
  <si>
    <t>Juan Manuel López Fando</t>
  </si>
  <si>
    <t>ón por su cumplimiento. Quien quisiere mejorar esta postura acuda á executarlo por la escribanía de D. Juan Manuel López Fando. Con fecha de 21 de Mayo del año próximo pasado se expidió al Real y Supremo Consejo de las Indias un suplicatorio por la Real Audiencia de México para que-se soliciten los albace</t>
  </si>
  <si>
    <t>prohijaciones y otras escrituras, explicando el papel sellado que corresponde á cada una. Su Autor D. Juan Manuel López Fando, Escribano del Número de la villa de Madrid. A 16 rs. en pergamino y 20 en pasta. Ewtretentm!entos de Focion sobre la semejanza y conformidad de la Moral con la Política : traduci</t>
  </si>
  <si>
    <t>D* Torquato Antonio Collado, Teniente de Corregidor en esta villa, por la escribanía del número de D. Juan Manuel López Fando, que actualmente sirve D. Félix Pico de Haedo. , „ , c . . , 1 / Una casa, sita en estü'corte en la calle de Sfa. Ana, señalada con el num. 5 de la manzana , que contiene 5278I pi</t>
  </si>
  <si>
    <t>prohijaciones y otras escrituras, explicando el papel sellado que corresponde á cada una: su autor D. Juan Manuel López Fando, Escribano del número de esta villa: 2 tomos en B.°, á 16 rs. en pergamino, y 20, en pasta. Se hallará en la librería de Burguillos, casa nueva del Conde de Tepa. Quaderno: plan d</t>
  </si>
  <si>
    <t>López Gallardo, Manuel</t>
  </si>
  <si>
    <t>Manuel López Gallardo</t>
  </si>
  <si>
    <t>del Sr. Gobernador del Consejo Sr. Marques de las Hormazas , los Consiliarios D. Antonio Luis Real, D. Manuel López Gallardo , la del- Secretario de la Real junta del hospital General y Pasión, y de los Médicos de Cámara D. Juan Gamez y D. Tuan Bautista Soldevílla'(no habiendo podido concurrir D. Manuel</t>
  </si>
  <si>
    <t>López María, Antonio</t>
  </si>
  <si>
    <t>Antonio López María</t>
  </si>
  <si>
    <t>as , á 450 rs. Otra en el campo , de 5 fan., linde á mediodía la vereda de Valdepelario, á poniente D. Antonio López María, y á la sierra la rava de Malp.ardo ,„ á 750 rs. Otra en VaMegalindo, de 7 fan., linde á oriente con tierra que fúé de Juan Fernandez, á mediodia y sierra herederos de Juana Herid</t>
  </si>
  <si>
    <t>fan., á 650 rs. Otra en la Quemada, de ^ fan., linde a orienté con Josef López Alaria , a mediodía D. Antonio López María , y á poniente D. Josef de Ribas, á 450 rs.Oirk en dicho parage, de 3 fan., linde á oriénte y poniente dicho D. Antonio, á mediodia herederos de Doña Ana María, y a la sierra Deog</t>
  </si>
  <si>
    <t>á mediodía majuelo de Jmn Aibiz , á poniente herederos de PedroLopez Adan, y á la sierra majuelo de D. Antonio López María , á 300 rs. Otra en término de Fuente el Saz, donde dicen S. Julián , que llaman de las Tejas , de 3 fan., linde á oriente herederos de Juan Raposo , á mediodía herederos de Pedro</t>
  </si>
  <si>
    <t>López Olivas, Joaquín</t>
  </si>
  <si>
    <t>Joaquín López Olivas</t>
  </si>
  <si>
    <t>: para la de la villa de Mazarron á D. Tadeo Rico Bononat; y para la de Puigcerdá, que este dexa, á D. Joaquin López Olivas. En América. En el batallón de infantería ftxo de Veracruz se ha servido el Rey promover á Capitanes al Ayudante primero D. Diego Antonio Sánchez, y al Teniente de cazadores D. Ma</t>
  </si>
  <si>
    <t>López Pelegrin, Ramón</t>
  </si>
  <si>
    <t>Ramón López Pelegrin</t>
  </si>
  <si>
    <t>de Chantre de la catedral de Cartagena, vacante por no haber tenido efecto el nombramiento hecho en D. Ramón López Pelegrin, por haberle conferido S. M. plaza de Oidor de la Chancillería de Valladolid, á D. Francisco Gómez Xara. En el regimiento de caballería del Infante, quarto de línea, se ha servido</t>
  </si>
  <si>
    <t>r promoción de D. Luis Marcelino Pereyra á una supernumeraria de Alcalde de su Real casa y corte, á Don Ramón López Pelegrin. También se ha servido nombrar para la vara de Alcalde mayor de la ciudad de Almuñecar y villa de Salobreña á D. Vicente Girón: para la de la villa de Fiñana á D. Joaquin Castillo</t>
  </si>
  <si>
    <t>López Quintana, Antonio</t>
  </si>
  <si>
    <t>Antonio López Quintana</t>
  </si>
  <si>
    <t>ias por lo perteneciente al Perú á D. Lúeas Muñoz y Cubero ; y para la de Sta. Fe, que este dexa, á D. Antonio López Quintana, que lo era de la de Carácas: para la Fiscalía del crimen de la de Buenos-Ayres á D. Antonio Caspe y Rodríguez, Abogado de los Reales Consejos; y para la de Oidor de la misma Audi</t>
  </si>
  <si>
    <t>López Royo, Francisco</t>
  </si>
  <si>
    <t>Francisco López Royo</t>
  </si>
  <si>
    <t>métodos de hallar la longitud en el mar por las observaciones lunarestsu autor el Alférez de Navio D. Francisco López Royo: seguidade-un apéndice en que se explica un método gráfico para corregir las distancias de la luna á otro astro , por D. Gabriel de Ciscar: un tomo á la rústica.*........ ........</t>
  </si>
  <si>
    <t>López Ximenez y María Teresa Muñiz, Miguel</t>
  </si>
  <si>
    <t>Miguel López Ximenez y María Teresa Muñiz</t>
  </si>
  <si>
    <t>, con la fábrica construida en él, en 021,640 rs., perteneciente á las memorias que mandaron fundar D. Miguel López Ximenez y Doña María Teresa Muñiz su muger, difuntos, aouda ante el Sr. Alcalde D. Mariano Alonso, y escribanía de provincia de D. Miguel Josef García de la Madrid, en el término de 20 dias contados desde el 1/ de</t>
  </si>
  <si>
    <t>López y Sagastlzabal, Andrés</t>
  </si>
  <si>
    <t>Andrés López y Sagastlzabal</t>
  </si>
  <si>
    <t>to á percibir .el Importe de sus capitales y réditos vencidos^ El Brigadier de los Reales exércitos D. Andrés López y Sagastlzabal, Director general dél Real Seminario de Nobles, y el Regente de estudios., y segundo Director D. Manuel .de Valbuena , tuviéron la honra de ser admitidos á besar la mano .á SS. MM</t>
  </si>
  <si>
    <t>López, Félix Máximo</t>
  </si>
  <si>
    <t>Félix Máximo López</t>
  </si>
  <si>
    <t>edición y papel. Se vende en la librería de Ranz¿ calle de la Cr.uz. Variaciones al fortepiano por D. Félix Máximo López, Organista de la capilla Real. Se hallarán en la librería de Escribano, calle de Jas Carretas, y. en la fábrica de fortepianos de Fernandez , calle Real del Barquillo , su precio</t>
  </si>
  <si>
    <t>López, Fernando</t>
  </si>
  <si>
    <t>Fernando López</t>
  </si>
  <si>
    <t>ía de España, octavo de línea, se ha servido el Rey promover á Capitán al Ayudante del mismo cuerpo Don Fernando López. El Rey se ha servido promover en los regimientos provinciales á Capitanes de los de Plasencia y Cuenca á los Tenientes de granaderos D. Julián Sarmiento y D. Alfonso Tomico; á Te</t>
  </si>
  <si>
    <t>López, Isidoro</t>
  </si>
  <si>
    <t>Isidoro López</t>
  </si>
  <si>
    <t>is de Rantiere y D. Josef Puech; y Subtenencias de bandera en el de la Princesa al Sargento primero D. Isidoro López: en el de Valencia al Cadete del de España D. Antonio Quirós: en el de América al Cadete de las compañías de cazadores de la plaza de Ceuta D. Miguel Diez de Real: en el de Ñapóle</t>
  </si>
  <si>
    <t>López, Juan</t>
  </si>
  <si>
    <t>Juan López</t>
  </si>
  <si>
    <t>. 141-25 Juan López.......................... Nava-hermosa................ . 141-25 ’ Juan Alcolado.................... Y i] la excusa de Haro.... 141..25 Antonio Medinedo............. Mó</t>
  </si>
  <si>
    <t>López, Manuel</t>
  </si>
  <si>
    <t>Manuel López</t>
  </si>
  <si>
    <t>........... 141..25 Manuel López..................... Nava-hermosa............ .. 141, •2S Antonio Ruiz..................... Puebla de Montalban..., 141..25 Pedro M iyordomo............. Cañeto.</t>
  </si>
  <si>
    <t>López, Matías</t>
  </si>
  <si>
    <t>Matías López</t>
  </si>
  <si>
    <t>de las milicias de blancos de aquella provincia; y para la segunda Ayudantía de la referida plaza á D. Matías López, Garzón de las de pardos:• para el empleo de Ayudante mayor de las milicias disciplinadas de blancos de la isla Margarita al Subteniente veterano D. Ignacio Ruata; y para el de Su</t>
  </si>
  <si>
    <t>López, Miguel</t>
  </si>
  <si>
    <t>Miguel López</t>
  </si>
  <si>
    <t>á Tenientes de fusileros á los Subtenientes D. Francisco Cazorla, de granaderos, D.; Martin Urloa y D. Miguel López; á Subteniente de granaderos.al de fusileros D.;FranciscoXralin¿ez , y á Subtenientes de bandera á los Cadetes £L Jdsef Antonio Marves y D. Josef Félix Marves. - a'1 ■ i1 Ó -: = ■</t>
  </si>
  <si>
    <t>... . 425- 6 Miguel López...................... Arangal,........................ 141-25 Roque Rey, Cabo.............. Mora........................ 283-16 Antonio Palomino..........</t>
  </si>
  <si>
    <t>López, Pedro</t>
  </si>
  <si>
    <t>Pedro López</t>
  </si>
  <si>
    <t>Miramoh , Sargento Pedro López...... ................. Carpió.............................. 141 ■•*5 segundo....... .................... Cevicor....... ................... . 4*5" 6 Jose</t>
  </si>
  <si>
    <t>López, Romualdo</t>
  </si>
  <si>
    <t>Romualdo López</t>
  </si>
  <si>
    <t>............ 141-25 Romualdo López-..,.......... Aysa.................................... 14 Rafael Recios...................... Cenicientos....................... 141-25 Josef Senosien.......</t>
  </si>
  <si>
    <t>López, Tomás</t>
  </si>
  <si>
    <t>Tomás López</t>
  </si>
  <si>
    <t>oncha y Benito Trascasas, habiéndose concedido el arcessit á Pedro Crisólogo Oliveros----- En la de D. Tomas López se adjudicó el premio á Manuel Domínguez &gt; áT-rancisco Xa</t>
  </si>
  <si>
    <t>ehende el mapa general del Reyno, y los particulares de sus provincias, incluso el de Portugal; por D. Tomas López, Geógrafo que fué de los dominios de S. M, Se hallará en un tomo de marca mayor con su índice, calle de Atocha, frente á los Gremios; y en la plazuela del Angel, núm, 19, quarto p</t>
  </si>
  <si>
    <t>..i........ 141..25 Tomas López....................... Ajofrin............................. 141 •25 Antohio Seco....................... Vib'alba.......... ...... .......... 141..25 "Vicente Ruiz...................</t>
  </si>
  <si>
    <t>, Dionisio Salgado y Lucas Martin; y el segundo Tomas González y Antonio Iglesias. En la escuela de D. Tomas López se dió el primer premio á Santiago Marcos, Pantaleon Ovejero, Manuel Delgado y Josef Altamira; y el segundo á Eugenio Ferrari, Isidoro Sánz y Venancio Oscar\z. En la de D. Heuriqu</t>
  </si>
  <si>
    <t>López, Vicente</t>
  </si>
  <si>
    <t>Vicente López</t>
  </si>
  <si>
    <t>CLARA. Vicente López..................... Torrijos.. 141. 25 Francisco Gallur, Sargento Juan Moreno........................ Roca..... 141</t>
  </si>
  <si>
    <t>Lorend Zo Monroy, Capitán</t>
  </si>
  <si>
    <t>Capitán Lorend Zo Monroy</t>
  </si>
  <si>
    <t>l regimiento de dragones provinciales de San Luis se fr^vídó eV Rey pronfover i Teniente Coronel al Capitán D Lorend Zo Monroy; á Capitán al Teniente D. Andrés Sierra í ajeníente al Alférez D. Josef Escalante; ¿ Alféreces á los-Portaguiones^D. Manueljopez y D. Miguel Rosales, y ¿ Portaguiones a D. Pedro I</t>
  </si>
  <si>
    <t>Lorenzana, Cardenal</t>
  </si>
  <si>
    <t>Cardenal Lorenzana</t>
  </si>
  <si>
    <t>de Abil. \ El martes íi'7 del corriente ha fallecido, de resoltas de un accidente apoplético fi,el Cardenal Lorenzana, á losVSy añqs de edad. Era generalmenje\con.opido con el, hermoso dictado de ‘padre de los pobres. * , . ,..f? - . Venecia 24 df Abril, Escriben, de Triéste, que han pasado los D</t>
  </si>
  <si>
    <t>Lorenzaná, Francisco Antonio</t>
  </si>
  <si>
    <t>Francisco Antonio Lorenzaná</t>
  </si>
  <si>
    <t>a de las Españas, el diá ‘9 de junio'del presente áño/ á la piadosa memoria dfel Enio. y Excmo. Sr. D. Francisco Antonio Lorenzaná, por el E’mo. y Excmo. Sr. Cardenal de Borbon,actuál Arzobispo,y éTCabildoycdn asistencia de la muy ilustre Imperial ciiidad, dixo élXic. D. Mateo Díaz de Rábago, Canónigo Magistr</t>
  </si>
  <si>
    <t>Loriga y Reguera, Juan</t>
  </si>
  <si>
    <t>Juan Loriga y Reguera</t>
  </si>
  <si>
    <t>do Gil de Ledesma y Seix , D. Josef Santiago Arias de Saavedra, Don Ignacio de Cárdenas y Cárdenas, D. Juan Loriga y Reguera, D. [oaquin Aguado y Cañas , D. Ramón Palacio y San Cristóbal, D. Mateo Hernández de Urcullo, D. Antonio del Riosoto y Espino, D. Josef Graces y Graces, D. Manuel Montesoro y More</t>
  </si>
  <si>
    <t>Losa, Alexo</t>
  </si>
  <si>
    <t>Alexo Losa</t>
  </si>
  <si>
    <t>gún el método *de Rumford, que debe, continuarse hasta principios de Junio. El profesor de farmacia D. Alexo Losa, Secretario de la junta , ofreció su casa para la composición y suministro á los pobres de esta sopa, acudiendo á su distribución .las. señoras mas distinguidas con un zelo verdad</t>
  </si>
  <si>
    <t>Lossius</t>
  </si>
  <si>
    <t>rlo de las naturales , conocidas con el nombre de morriña. Los últimos experimentos que ha hecho el Dr. Lossius , de Dahlen , merecen singular mención. En las aldeas inmediatas á Ellenburgo ha inoculado 300 ovejas, sin perecer ninguna, y al contrario de las que han tenido la morriña 6 virue</t>
  </si>
  <si>
    <t>Lozanecen Poiitevedra, Juan</t>
  </si>
  <si>
    <t>Juan Lozanecen Poiitevedra</t>
  </si>
  <si>
    <t>oS éntfe-'4* gara ó dará avisó á los expresados D. Marcial Fraricisco del'Adalid eft':ía Ccirunat . D. Juan Lozanecen Poiitevedra, y en esta corté á D. Manuel de Sampéiáyb. ’•’* . ,l En 2 2 de Febrero próximo pasado desdé Salamanca á Zamora se perdió úñ Vale Real de 150 pesos, de la creación de Setiembre de</t>
  </si>
  <si>
    <t>Lozano, Ignacio</t>
  </si>
  <si>
    <t>Ignacio Lozano</t>
  </si>
  <si>
    <t>Lillo, y al Sargento primero de granaderos D. Juan de Azconaga: en el de Soria al Sargento primero D. Ignacio Lozano; y en el de Jaén al dé igual clase de granaderos D. Fernando Chaparro: el empleo de Gapitañ sFgfindo en el primar batallón de Voluntarios de Aragón al Téaiente'-D.fíAtitohio Perez</t>
  </si>
  <si>
    <t>Lozano, Juan Nepomuceno</t>
  </si>
  <si>
    <t>Juan Nepomuceno Lozano</t>
  </si>
  <si>
    <t>ro Señor, celebró esta Real. Sociedad Económica su junta general, á que dio principio su Secretario D. Juan Nepomuceno Lozano, Abogado de los Reales Consejos , con una oración , exhortando á que sus consocios permanezcan con constante beneficencia en favor de la humanidad necesitada y afligida, aun</t>
  </si>
  <si>
    <t>Lozano, Pablo</t>
  </si>
  <si>
    <t>Pablo Lozano</t>
  </si>
  <si>
    <t>osef Rodríguez de Castro. Paráfrasis Arabe de la tabla de Cebes,traducida é ilustrada con notas por Don Pablo Lozano: un tomo en 4.0 marquilla, á 45 rs. en pasta. Las obras de Xenofonte Ateniense, traducidas del griego por el Secretario Diego Gradan: 2 tomos en 4.0 marquilla, á 72 rs. en pasta:</t>
  </si>
  <si>
    <t>Luciano Bonaparte</t>
  </si>
  <si>
    <t>á pena capital, y á los demás á encierro si se consigue arrestarlos. ITALIA. Génova j 5 de Mayo. - Mr. Luciano Bonaparte se halla actualmente en las haciendas de Bassano, que ha comprado al Príncipe Giustiniani, cuyo palacio y galería son magníficos. Dicen que se ocupa en dirigir las labores agrícol</t>
  </si>
  <si>
    <t>ido aun para la Toscana, como se había esparcido infundadamente: ahora está en Frascati con su hijo Mr. Luciano Bonaparte. S. A. R. la Archiduquesa Mariana de Austria, se dispone á salir en breve de esta capital. El 17 del mes próximo pasado se celebró la beatificación de Sor Verónica Giuliani, super</t>
  </si>
  <si>
    <t>Luciano de Gastañazatorre, Francisco</t>
  </si>
  <si>
    <t>Francisco Luciano de Gastañazatorre</t>
  </si>
  <si>
    <t>estinos ácíreáitÓ sus conochnieritos militares, y su zélo y amor ^ar Réál ^etvidió.' '-u •Noticioso D. Francisco Luciano de Gastañazatorre *, residente en la villa de Gnemica, señorío de Vizcaya., de las observaciones que ha-hecho ‘el ciud. Brum, profesor de historia natural en la escuela central del departamento del</t>
  </si>
  <si>
    <t>Lucio Oliveros</t>
  </si>
  <si>
    <t>ido S. M. á Alférez en el regimiento de caballería del Infante, quarto de línea, al Portaestandarte D. Lucio Oliveros; y á Teniente en el de Calatrava, décimo de línea, al Alférez Don Tomas de Cobos. En atención á los méritos del Dr. D. Josef Sánchez Chaves, ha venido S. M. en conferirle plaza de</t>
  </si>
  <si>
    <t>Lúeas Freyre</t>
  </si>
  <si>
    <t>lancos, agregada al batallón de milicias de pardos libres de Cuba y Ba* yamo; y para esta resulta á D. Lúeas Freyre, Cadete que fue del batallón veterano de Sto. Domingo, y actualmente agregado ai regimiento de infantería de la Havana. También ha nombrado S. M. Ayudante veterano del regimiento</t>
  </si>
  <si>
    <t>Lúeas Muñoz y Cubero</t>
  </si>
  <si>
    <t>Josef Gorvea y Vadillo á la de Fiscal del Consejo y Cámara de Indias por lo perteneciente al Perú á D. Lúeas Muñoz y Cubero ; y para la de Sta. Fe, que este dexa, á D. Antonio López Quintana, que lo era de la de Carácas: para la Fiscalía del crimen de la de Buenos-Ayres á D. Antonio Caspe y Rodríguez,</t>
  </si>
  <si>
    <t>Luengo, Felipe</t>
  </si>
  <si>
    <t>Felipe Luengo</t>
  </si>
  <si>
    <t>io Tejada y Otalora y D. Joaquín Cáceres; á Capitanes segundos á los Tenientes Don Manuel del Pino, D. Felipe Luengo, D. Manuel Bequer , D. Josef Saravia y D. Joaquín Góngora, y á Tenientes á los Subtenientes D. Bartolomé Gutiérrez, D. Francisco Campo Redondo, D. Antonio Rodriguez de Toro, D. Am</t>
  </si>
  <si>
    <t>Luis'Martínez de Ariza</t>
  </si>
  <si>
    <t>ico de la plaza de Málaga al Mariscal de Campo D. Fernando Gaver ; y para esta resulta al Brigadier D. Luis'Martínez de Ariza. Para el Gobierno también militar y político de la plaza dé Alicante al Brigadier D. Josef Betegon, Coronel del Real cuerpo de'Artlllería : para el de la de Olivencia al Brigadier</t>
  </si>
  <si>
    <t>Luis, Almirante</t>
  </si>
  <si>
    <t>Almirante Luis</t>
  </si>
  <si>
    <t>á su modo de pensar. Lo cierto es, que no puede saberse la pérdida del enemigo, como dice el Contra-Almirante Luis en el parte que da al Almirantazgo desde las aguas de Boloña á bordo del navio del Rey la Inmortalidad. SUIZA. Berna. 24 de Julio. El gobierno ha concedido á la sociedad de naturali</t>
  </si>
  <si>
    <t>Luis, Princesa</t>
  </si>
  <si>
    <t>Princesa Luis</t>
  </si>
  <si>
    <t>es de la división que manda, una circu ai* partic loando le s el leliz alumbramiento de S. A. 1. la Princesa Luis. La epidemia que ha reynado en Liorna va disminuyéndose ; sin embargo se continúan perfumando las cartas. Se cree que dentro de, 2 d 3 dias se quitará el cordon, y se restablecerá</t>
  </si>
  <si>
    <t>Luis, Príncipe</t>
  </si>
  <si>
    <t>Príncipe Luis</t>
  </si>
  <si>
    <t>ranqueza los, obstáculos que se. le han opuesto, y las tramas urdidas contra sus proyectos. Como el Príncipe Luis se halla al frente del partido opuesto á las ideas del Ministro, y este en su manifiesto no ha guardado á S. A. sobrados miramientos, se ha quejado formalmente el Príncipe á la Cá</t>
  </si>
  <si>
    <t>. El Monitor del 20 de Mayo dice: ,,que el dia ántes fueron presentados á S. M. el Emperador por el Príncipe Luis, Condestabledeblmpe-1 rio i los varios cue/pós'^ué Componen la guardia imperial. El( Gen etal Beissiétés j^Coíonél, gétie^l’^de la guardia , le hizo un cortó discurso; en One* cii</t>
  </si>
  <si>
    <t>Luís, Príncipe</t>
  </si>
  <si>
    <t>Príncipe Luís</t>
  </si>
  <si>
    <t>amento, que se insertará en el boletín de las leyes. = Firmado : Napoleón.” iíl dia 23, S. A. I. el Príncipe Luís, Condestable del Imperio , presento á jurar, en manos del Emperador, á los Senadores y Mariscales del Imperio Kelierman , Lefevre , Perignon y Serruner. A. los Generales Mariscale</t>
  </si>
  <si>
    <t>os sugetos le han tratado en París. Xa asamblea electoral del departamento del Po, presidida por el Príncipe Luis, Condestable del Imperio, ha nombrado candidatos al Senado conservador á Mr. Freria, Coronel que fue de dragones al servicio del Rey de Cerdeña , ahora General de división al serv</t>
  </si>
  <si>
    <t>ín, donde pasará parte del invierno. Esta circunstancia, y la de continuar su mansión en Bohemia el Príncipe Luis.4e Pni-?' sia, son una nueva prueba de la buena inteligencia que subsiste entre la Prusia y el Austria. Está parado enteramente el comercio de los Ingleses en los puerto? del mar</t>
  </si>
  <si>
    <t>ador. En cada una de estas visitas estuvieron solos el Papa y el Emperador mas de inedia hora. — El Príncipe Luis, que sé hallaba en Fontainebleau, ha visitado también á S. S. El Emperador ha presentado al Papa al Archi-Canciller y al Archi-Tesorero. El mismo dia fué presentado al Emperador S</t>
  </si>
  <si>
    <t>Luisa Carlota, Princesa</t>
  </si>
  <si>
    <t>Princesa Luisa Carlota</t>
  </si>
  <si>
    <t>ilia en Grodno: la Condesa y su sobrina permanecen aun en Varsovia. Con motivo del desposorio de la Princesa Luisa Carlota con el Príncipe Henrique de Prusia, ha habido gran gala en Copenhague, y ademas, de la mesa de S. M., dio otra de 120 cubiertos el Mariscal de la Cortes durante la comida brindó S</t>
  </si>
  <si>
    <t>Luisa, María</t>
  </si>
  <si>
    <t>María Luisa</t>
  </si>
  <si>
    <t>ernes de la semana anterior se vistió la corte de gala con motivo del cumpleaños de la Sra. Infanta Doña María Luisa, Reyna Regente de Etruria, y de la Sra. Infanta Doña María Isabel , Princesa heredera de Ñapóles. EL Rey se ha servido nombrar para una Canongía de la colegial de Covarrubias, en</t>
  </si>
  <si>
    <t>Luisa, Princesa</t>
  </si>
  <si>
    <t>Princesa Luisa</t>
  </si>
  <si>
    <t>partirá para Luxcmburgo. París J2 de Octubre. Ayer jueves, alas 2 y media de la tarde^ .S. A* X* la Princesa Luisa» -ha dadorfelizmente á luz ,un Príncipe.,Conforme .alartículo 40.de la acta de las constituciones .del Imperio PUr-falprpxímo, se hadó-presente á este acto S. A. S. Monseigneur el</t>
  </si>
  <si>
    <t>Luna, Antonio</t>
  </si>
  <si>
    <t>Antonio Luna</t>
  </si>
  <si>
    <t>entes de granaderos D. Josef Aristizabal y D. Nicolás Pimpin; y á los de fusileros D. Josef Lisola, D. Antonio Luna y D. Josef María Portocarrero: á Subtenientes de granaderos á los de fusileros D. Joaquín Carballo y D. Francisco Cabrera: á Subtenientes de compañía á los de bandera D. Fernando Otal</t>
  </si>
  <si>
    <t>Luque, Juan</t>
  </si>
  <si>
    <t>Juan Luque</t>
  </si>
  <si>
    <t>de este año, en la qual se hallan indicados y declarados vocales natos de la expresada Junta , son D. Juan Luque , D. Manuel Nuñez y D. Félix González. Por Escribanía de Cámara y de Gobierno del Conseco Real se ha comunicado con fecha de 22 de Febrero último la circular siguiente r ,,La esca</t>
  </si>
  <si>
    <t>Luxan, Antonio</t>
  </si>
  <si>
    <t>Antonio Luxan</t>
  </si>
  <si>
    <t>ir la Tenencia Coronela del Regimiento de infantería de Córdoba ai Comandante de su tercer batallón D. Antonio Luxan; y Compañías en el mismo Cuerpo, y en los batallones de Voluntarios, primero de Aragón y de Campomayor, al Ayudante, graduado de Capitán, D. Manuel Vallecilio, y á los Capitanes s</t>
  </si>
  <si>
    <t>M'dgrave, Lord</t>
  </si>
  <si>
    <t>Lord M'dgrave</t>
  </si>
  <si>
    <t>e á esta ciudad, donde se detendrá pocoátiempo; pasa á París. GRAN BRETAÑA. Londres 11 de Junio. El Lord M'dgrave ha sido nombrado Canciller del Ducado de Lancaster en lugar del Lord Pelham, Varios papeles públicos han anunciado positivamente que iba á salir muy pronto uña expedición contra e</t>
  </si>
  <si>
    <t>M-sariin Oarrichena</t>
  </si>
  <si>
    <t>Pedro Nuñez, D. Manuel Kcdriggn§^&lt;» D. Juan Josef Murrieta, Don Francisco Spínola, D. Juan Ulloa., D. M-sariin Oarrichena , D. Manuel Bacaro, D. Antonio Bovadilla, D. Migu«i(li Martínez, D. Luis Lasqueti,Don Juan Latre, D. Tomas Urrecha, D: R.jmon Moyua, D. Ramón Torre, D. Manuel Berna!, D. Antonio M</t>
  </si>
  <si>
    <t>Macares, Antonio Xavier</t>
  </si>
  <si>
    <t>Antonio Xavier Macares</t>
  </si>
  <si>
    <t>dante del esquadron de Milicias disciplinadas dé caballería de Caracas al Capitán del propio cuerpo D. Antonio Xavier Macares: el1 de Ayudante mayor al segundo Ayudante D. Josef Laso; y esta resulta á D. Francisco Piraces, agregado en la rriiéma clase á dicho esquadron. Por el Ministerio de Hacienda de I</t>
  </si>
  <si>
    <t>Macedonio Álvarez</t>
  </si>
  <si>
    <t>orera y D on Juan de Acosta, sostuvieron el Dr. D. Manuel ^ Céspedes, Dr. D. Josef María Domínguez, D. Macedonio Alvarez, D.. Vicente Martínez Gómez , y ef Dr. D. Francisco Velazquez , los jprlmeros en los ramos de aritmética, álgebra , geometría y trigon^iegrU ; y los dos se-* gundos en los de secc</t>
  </si>
  <si>
    <t>Machado, Francisco Antonio</t>
  </si>
  <si>
    <t>Francisco Antonio Machado</t>
  </si>
  <si>
    <t>, ha promovido S. M. á Capitán al Teniente D. Salvador de Consuegra; á esta resulta al Subteniente D. Francisco Antonio Machado; á la de este al Alférez D. Josef María Consuegra, y á la que este déxa al Sargento D. Josef Manuel Machado. También se ha servido el Rey conferir el empleo de Sargento mayor del</t>
  </si>
  <si>
    <t>Mackeon, Lorenzo</t>
  </si>
  <si>
    <t>Lorenzo Mackeon</t>
  </si>
  <si>
    <t>Prestamera de lá villa de la Osa d¿ ia Vega, en la diócesis dé Cuenca, vacante por fallecimiento de D. Lorenzo Mackeon, á D. Andrés de Calera: para1 el Beneficio de la parroquial de la villa de, Alanis, en el arzobispado de Sevilla, vacante por muerte de D. Manuel Josef Delgado*, á D. Mariano Gala</t>
  </si>
  <si>
    <t>Madera, Manuel</t>
  </si>
  <si>
    <t>Manuel Madera</t>
  </si>
  <si>
    <t>n el regimiento de infantería de Zaragoza se ha servido el Rey promover á Subtenientes de bandera á D. Manuel Madera y D. Salvador Lobo y Orta, Cadetes de los de Burgos y Jaén; y en el de Aragón á D. Pascual Presencia, Sargento primero del mismo cuerpo.</t>
  </si>
  <si>
    <t>Madra, Tomás Diego</t>
  </si>
  <si>
    <t>Tomás Diego Madra</t>
  </si>
  <si>
    <t>n de todos los niños y niñas que asistieron, y el buen método con que los había educado su maestro; D. Tomas Diego Madra. zo, encontrando dignos de lo,s premios en primer lugar á D. Fernando Ruiz de la Prada y Mazo, en segundo á D. Miguel de la Gandara, y en tercero á D. Juan Alonso Ruiz, á los que</t>
  </si>
  <si>
    <t>Madrid, Benito</t>
  </si>
  <si>
    <t>Benito Madrid</t>
  </si>
  <si>
    <t>............ 141-25 Benito Madrid.................... Anfite................................. 14 Pedro Brualla........................ Puanez.............................. 141-25 Bonifacio García.......</t>
  </si>
  <si>
    <t>Madrigal, Andrés</t>
  </si>
  <si>
    <t>Andrés Madrigal</t>
  </si>
  <si>
    <t>y para el Beneficio de la parroquial de lüescas, en.el arzobispado de Toledo, por fallecimiento de D. Andrés Madrigal , á D. Ventura de Arreo. S. M. se ha servido promover en el regimiento de infantería de Ultonia á Ayudante al Teniente; graduado de Gapitan, D. Josef Lamas; y en el de Extremadura</t>
  </si>
  <si>
    <t>Maestre, Ramón</t>
  </si>
  <si>
    <t>Ramón Maestre</t>
  </si>
  <si>
    <t>ileros D. Francisco Medranoi a Teniente- de tusileros dri mismo cuerpo al Subteniente de granaderos D. Ramón Maestre; y a Subtfmen</t>
  </si>
  <si>
    <t>Mafíás</t>
  </si>
  <si>
    <t>l, de Roay eiu el obispado de Osma, por ascenso de-D. Domingo Hortigiiela a Canongía de la misma, á D. Mafíás*Cásado, Cura dé Vaídegruíla y su anexó'en el propio obispado: páíá¥ uria Mediá-Rábióii dé ia catedral de$egovia, vacante por promoción</t>
  </si>
  <si>
    <t>Magdalena Fernández y Figueró</t>
  </si>
  <si>
    <t>calle del Príncipe. La muerte de Abel vengada: tragedia en 3 actos, acomodada al teatro español por Doña Magdalena Fernandez y Figueró: este drama presenta el ínteres mas vivo, nacido de la sencilla trama de la acción, y puede tenerse como un género nuevo en el teatro. Se hallará en la librería de Castillo, frent</t>
  </si>
  <si>
    <t>Magdalena y Arañuela Tarufo</t>
  </si>
  <si>
    <t>9 mandó se diese la tercera parte del remanente de su¿ bienes á sus sobrinos, hijos de sus hermanas Doña Magdalena y Doña Arañuela Tarufo, casadas, la una con D. Francisco Porras, y la otra con su hijo; y mediante no haber comparecido los interesados con los documentos correspondientes á acreditar la pertenencia del</t>
  </si>
  <si>
    <t>Magon, Almirante</t>
  </si>
  <si>
    <t>Almirante Magon</t>
  </si>
  <si>
    <t>adonde iráesta esquadrilla, aunque se presume que se reunirá á la de Osreúde, mandada por el Contra-Almirante Magon. Bruselas 11 de Diciembre. Se aguarda de un instante á otro al primer Cónsul en nuestras costas: se asegura que’ permanecerá algún tiempo en Ofende,’ donde se espera el anuncio po</t>
  </si>
  <si>
    <t>s baxos inmediatos al campamento izquierdo de este exército ,' saliéron apresurad ámente" el Contra-Almirante Magon, el General Oudinot y otros oficiales súperié-í» res á hacer que prontamente se socorriera á‘la tripulación; pero sin aguardar á tanto , se echó á nado un Alférez de navio, siguié</t>
  </si>
  <si>
    <t>Mahiiel María del Valle</t>
  </si>
  <si>
    <t>ubilación , con las dos terceras partesdél sifeldo’deda plaza ; y se ha servido nombrar para ella á D. Mahiiel María del Valle, Alcalde del crimen mas^ahtiguo de la misma Audiencia: jpara*esta'resulta á D. Francisco Esterripa, Oidor de la de Sta. Fd, y para la que-este dexa á D. Andrés Portocarrero, Aboga</t>
  </si>
  <si>
    <t>Maillardorz</t>
  </si>
  <si>
    <t>tado Conde de Cobentzel. —— Ha salido un correo para París con pliegos,para, el ciud. Maillardorz, relativos al mismo objeto. Berna 24 de Febrero. Muchos pueblos protestantes del país de los grisones se obstinan todavía en conservar el antiguo calendario, q</t>
  </si>
  <si>
    <t>Mainel Bretón</t>
  </si>
  <si>
    <t>175,305, 175,330 y 175,334, todos de lá creación de i.° de Setiembre, y endosados á faVor de dicho D. Mainel Bretón por D. Ignacio de Aíuincibay; y no habiendo llegado á manos de aquel á quien se dirigían, se previene que el que los hubiere, los dirija á qualquiera de los dichos D. Manuel de la</t>
  </si>
  <si>
    <t>Majuelo, Juan</t>
  </si>
  <si>
    <t>Juan Majuelo</t>
  </si>
  <si>
    <t>de las condiciones y demas que fuere pseciso. D. Raymundo Forcatera, D. Juan Villarman y compañía, D. Juan Majuelo y D. Josef de Zavalveitia, vecinos de Bilbao, ó que comerciaron en aquella plaza por los años de 1760, eran acreedores á cierta casa de dicha villa por diferentes cantidades (aunque d</t>
  </si>
  <si>
    <t>Malagon, General</t>
  </si>
  <si>
    <t>General Malagon</t>
  </si>
  <si>
    <t>nifestó el carácter de Capitán General; el 'Comisario ordenador Leger el de Prefecto colonial, y el General Malagon el de Comandante de la isla de la Reunión. Las milicias se hallaban en el mismo estado que el año tilimju , y la colonia tenia 3© hombres de buenas tropas recien llegadas de Europa,</t>
  </si>
  <si>
    <t>Malcolm, Coronel</t>
  </si>
  <si>
    <t>Coronel Malcolm</t>
  </si>
  <si>
    <t>tre otras adquisiciones, la compañía conservará á Baroach, en la provincia marítima de Guzarate. El Coronel Malcolm debia pasar á la corte de Scindia en calidad de Residente. El tribunal del banco del Rey ha condenado á J. Stephens y á J. Agnew á pagar 10,62 j libras esterlinas que habían exigido</t>
  </si>
  <si>
    <t>Maldonado, Pedro</t>
  </si>
  <si>
    <t>Pedro Maldonado</t>
  </si>
  <si>
    <t>14. Carta geográfica en quatro hojas de la provincia de Quito y de sus adyacentes, obra postuma de D. Pedro Maldonado , hecha sobre las observaciones astronómicas y geográficas de los Académicos Reales dé las Ciencias de París, y de los Señores D. Jorge Juan y D. Antonio de. Ulloa................</t>
  </si>
  <si>
    <t>Malo, Félix</t>
  </si>
  <si>
    <t>Félix Malo</t>
  </si>
  <si>
    <t>te al Teniente D. Fernando Antoneli; á Teniente al Alférez D. Josef Miguel; á Alférez al Portaguión D. Félix Malo, y á Portaguión al Cadete D. Francisco Herrera. * La ciudad de Náxera, en la provincia de la Rioja , en virtud de Real privilegio, ha celebrado de algunos siglos á esta parte una</t>
  </si>
  <si>
    <t>Maná Téresa Alonso</t>
  </si>
  <si>
    <t>han principiado autos de oficio , Cor motivo del fallecimiento ábiiítestátó dé Maná Téresa Alonso, natural de la ciudad dé</t>
  </si>
  <si>
    <t>Manrique, Francisco</t>
  </si>
  <si>
    <t>Francisco Manrique</t>
  </si>
  <si>
    <t>z Marques de Lazan;. á Alférez ai Exento D. Manuel Chacón; á Exento de número al Supernu-; mera rio D. Francisco Manrique; á Supernumerario al Brigadier D. Josef. Azcutia; á Brigadieres á los Subrigadieres D. Vicente Bustamanre yD. Josef Puch; á Subrigadieres á los Cadetes D. Antonio Pascual y D. Jos</t>
  </si>
  <si>
    <t>Manrique, Jorge</t>
  </si>
  <si>
    <t>Jorge Manrique</t>
  </si>
  <si>
    <t>da, del mismo autor, también en 1 2.°, los Proverbios de D. Iñigo López de Mendoza, y las Coplas do D. Jorge Manrique: un tomo en 12.0 EN LA IMPRENTA REAL.</t>
  </si>
  <si>
    <t>Manrique, Juan</t>
  </si>
  <si>
    <t>Juan Manrique</t>
  </si>
  <si>
    <t>de Capitán al Ayudante mayor de dicho batallón Don Melchor de Sotnarriba; esta resulta al Teniente D. Juan Manrique: empleos d¿ Tenientes á los Subtenientes D. Ramón de Ayala, de granaderos, y D. Miguel Valdés; de Subteniente de granaderos al de fusileros D. Antonio Luis Aleado; de Subteniente</t>
  </si>
  <si>
    <t>Mansilla, Juan</t>
  </si>
  <si>
    <t>Juan Mansilla</t>
  </si>
  <si>
    <t>os D. Pablo San-, diez y D. Francisco Quesada ;y á Capitanes segundos de infantería á los Tenientes D. Juan Mansilla, D. Benito Avalle y D. Francisco Macia. Como también á Capitán segundo de las compañías lixas de Artillería de la plaza de Ceuta al Teniente D. Esteban Cortiñas, y á Teniente al S</t>
  </si>
  <si>
    <t>Manso, Antonio María</t>
  </si>
  <si>
    <t>Antonio María Manso</t>
  </si>
  <si>
    <t>á Portaestandarte ai Cadete D. Benito Cardón: en el de Farnesio á Alféreces á los Portaestandartes D. Antonio María Manso y D. Joaquin Polo: en el de Santiago á Alférez al Portaestandarte D. Manuel de Castro; y en el de cazadores de Almansa á Capitán al Ayudante D. Joaquin Montemayor. Ei Rey se ha servid</t>
  </si>
  <si>
    <t>Manso, Francisco</t>
  </si>
  <si>
    <t>Francisco Manso</t>
  </si>
  <si>
    <t>na Caí ongía de la Catedral de Avila, vacante por fallecimiento de D. J« sef de Aguilar y Osorio, á D. Francisco Manso, Racionero de la propia Igle'ia: para la Ración que este dexa á Don Pedro Pablo Corrales y Ordas, Cura de S. Andrés de aquella ciudad: para otra Canoiigía de la Colegial de Antequ</t>
  </si>
  <si>
    <t>Manso, Manuel</t>
  </si>
  <si>
    <t>Manuel Manso</t>
  </si>
  <si>
    <t>El Rey se ha dignado conceder honores de Ministro del Tribunal de la Contaduría mayor de Cuentas á D. Manuel Manso, Administrador general de Rentas del Reyno de Chile. La feria de Huesca, que todos los años empieza el diá de S. Martin, y finaliza el dé S. Andrés, se suspende por este año , y s</t>
  </si>
  <si>
    <t>MantHla, Francisco</t>
  </si>
  <si>
    <t>Francisco MantHla</t>
  </si>
  <si>
    <t>acuda á D. Manuel de Teran, Procurador general de aquel valle, en el lugar de Qrmas; y en Madrid á D. Francisco MantHla, que vive en la casa del Excmo. Sr. Conde de Altanara* „ ICempis de Imitatione Christl en latín y griego. A. P. Georgio Mayr. Se hallará en la librería de Divila, calle de las Car</t>
  </si>
  <si>
    <t>Manual Roxas</t>
  </si>
  <si>
    <t>141-25 Manual Roxas...................... Toledo—..................... . 141* 25 Josef Udat............................ 141-25 Matias Martinez.................</t>
  </si>
  <si>
    <t>Manuefi Navarro</t>
  </si>
  <si>
    <t>de fa imprenta Real ;*en el Real sitio dé' Aranjuez en la tienda del Rubio , y. en C£diz en casa de D. Manuefi Navarro. ■ Contiene ;eníla i parte política: variar noticias de la República dé las Siete-Islas, 'y.: d&amp;, lo oqusiido, en la, isla .de §ío._ Domingo : noticias dé Alemania &amp;c.Eri la paite</t>
  </si>
  <si>
    <t>Manuel Alonso</t>
  </si>
  <si>
    <t>Francisco Morales y D. Ignacio Salazar: ¿Tenientes á los Subtenientes de granaderos D. Luis Arnaiz,D. Manuel Alonso y D. Antonio Moreno, y al de fusileros D. Juan Quiñones: á Subtenientes de granaderos á los de fusileros D. Juan de Castro, D. Josef Manuel González y D. Vicente Martínez: á Subtenien</t>
  </si>
  <si>
    <t>Manuel Miguel</t>
  </si>
  <si>
    <t>................ 14 Manuel Miguel..................... Yébenes.............................. I¿¡ D. Vicente Croquer, Subte­ Manuel Aragón................... Mascaraque........................ 14</t>
  </si>
  <si>
    <t>Manuel Vicente</t>
  </si>
  <si>
    <t>s sobre enagenacion de fincas de memorias y obras pías se están subastando por la audiencia del Sr. D. Manuel Vicente de lorres, Teniente Corregidor de esta villa, y por ía escribanía del número de D. Ge rvasio Fernandez Izquierdo, varias fincas sitas en el término de la villa de Velilla de S. Anton</t>
  </si>
  <si>
    <t>Manuel'María de Junco</t>
  </si>
  <si>
    <t>r un mercado en el dia. sábado de cada semana.. Por providencia dada en 26 del corriente por el Sr. D. Manuel'María de Junco ,v del Consejo de S-. M., Alcalde, de. su Real casa, y corte, se ha señalado para el viérnes. 15 del próximo mes.de Junio, á las n de su. mañana,. en la audiencia de S. S. y escri</t>
  </si>
  <si>
    <t>Manuel-de las Heras</t>
  </si>
  <si>
    <t>es, Mayordomo de Semana de S. M. Católica , el Caballero Landabt ru , Capitán de dragones del Peni, D. Manuel-de las Heras, del Cornejo de S. M. en el Supremo de Indias, D. Alfonso Pignatelli, Coronel de 'húsares, y el Caballero Montalvo. En el Monitor se ha publicado un informe del Procurador general</t>
  </si>
  <si>
    <t>Manuel-García Marques</t>
  </si>
  <si>
    <t>érCorr eg ido r de esta, villa, "Juez comisiona do por el Consejo pata entéfidér (éít la qdiehra de D. Manuel-García Marques, se ha</t>
  </si>
  <si>
    <t>Manuela Bandres Abarca</t>
  </si>
  <si>
    <t>ué de la referida ciudad, acaecida en 24 de Mayo de 1803. Los Patronos de las memorias fundadas por Doña Manuela Bandres Abarca hacen saber que entre las fundaciones que hizo dicha Señora, fué una en la Merced Calzada, con calidad de patronato Real de legos, previniendo que el superávit que cada año quedas</t>
  </si>
  <si>
    <t>Manuela del Alamo, María</t>
  </si>
  <si>
    <t>María Manuela del Alamo</t>
  </si>
  <si>
    <t>, una casa sita en la calle del Mediodía grande, núm. 10, manz. no, perteneciente á las memorias de Doña María Manuela del Alamo, de 3540$ pies de sitio quadrados superficiales, tasada en 116,331 rs., sin que tenga otra carga que la del alumbrado y serenos. Quien quisiere hacer postura á ella, acuda ante di</t>
  </si>
  <si>
    <t>Manuela Piguatelli y Gonzaga, María</t>
  </si>
  <si>
    <t>María Manuela Piguatelli y Gonzaga</t>
  </si>
  <si>
    <t>or del mundo, pintado por Aníbal Carachi, y grabado por D. Juan Brunetti, dedicado á la Excma. Sra. Doña María Manuela Piguatelli y Gonzaga, Duquesa viuda de Villa•hermosa. Se hallará en la librería de Escribano, calle de Jas Carretas, á 7 rs. El Pelele siempre vivo que todos los años muere. Se hallará junto á la igle</t>
  </si>
  <si>
    <t>Manueljopez</t>
  </si>
  <si>
    <t>Teniente D. Andrés Sierra í ajeníente al Alférez D. Josef Escalante; ¿ Alféreces á los-Portaguiones^D. Manueljopez y D. Miguel Rosales, y ¿ Portaguiones a D. Pedro Imas y D. Manuel Gómez Bulnes. Asimismo en el regimiento provincial de dragones de San Carlos se ha dignado promover á Capitán al Teni</t>
  </si>
  <si>
    <t>MánüePMaría de Junco</t>
  </si>
  <si>
    <t>sco de Aviraneta para que no ocurra embarazo en #1 curso de ellos. En virtud de providencia déf Sr. D. MánüePMaría de Junco, del Consej’o de S. M. r Alcalde de su Real casa y corte , dada en los autos de abintestato de Don Josef del Río , Cónsul general de España én fa'Corté de Lísbóa , que falleció ha</t>
  </si>
  <si>
    <t>Manzanos, Francisco Xavier</t>
  </si>
  <si>
    <t>Francisco Xavier Manzanos</t>
  </si>
  <si>
    <t>ores de Guerra de Popayan y de la Comandancia general de las provincias internas de Nueva-Fspaña, á D. Francisco Xavier Manzanos y D. Mariano de Herrera y Molina. En cumplimiento de las Reales cédulas de S. M. de 15 de Julio y 29</t>
  </si>
  <si>
    <t>no y Presidencia de la Provincia de Quito, que se había suprimido , se ha servido nombrar para él á D. Francisco Xavier Manzanos, electo Asesor del Gobierno de Popayan. También ha concedido S. M. honores de su Real Audiencia de Caracas á D. Francisco Espejo, Abogado de ella. El Gobernador de Cartagena de In</t>
  </si>
  <si>
    <t>Mar</t>
  </si>
  <si>
    <t>s de la Corona y Ñapóles á los Cadetes Don Josef Fernandez de Escovar, D. Toribio Fernandez Cosío , D. Mar-*</t>
  </si>
  <si>
    <t>Mar, Coronel</t>
  </si>
  <si>
    <t>Coronel Mar</t>
  </si>
  <si>
    <t>eral Wellesley, y con noticias de las operaciones de nuestro exército en Guzarate á las órdenes dei Coronel Mar-, ray.__-Algunas cartas particulares dan cuenta de las operaciones del exército después de la jornada del 2 3 de Setiembre. El 28 dei mismo, mes el General Wellesley, después de un</t>
  </si>
  <si>
    <t>Marañon, Manuel Pedro</t>
  </si>
  <si>
    <t>Manuel Pedro Marañon</t>
  </si>
  <si>
    <t>orio, y 2 exemplares de la obra de Gil Blas de Santillana, todos en pasta, á D. Ramón Guizaburuaga, D. Manuel Pedro Marañon, Pedro Battho , natural de Burdeos , D. Julián de Alderete , y D. Joaquín Ferrer: se dieron á los demas certificaciones de su aplicación y aprovechamiento; quedando satisfecho el</t>
  </si>
  <si>
    <t>Marcaida, Jacinto</t>
  </si>
  <si>
    <t>Jacinto Marcaida</t>
  </si>
  <si>
    <t>, D. Josef Mazarredo, D. Juan de’Vera, D. Pedro de Salazar, D. Felipe Esteller,, D. Josef del Viso, D. Jacinto Marcaida, D. Juan Bautista Lanz y Don; Francisco Ponce de León. Digesto teórico-práctico, ó Recopilación de los derechos Común, Real y Canónico, por los libros y títulos del Digesto, tradu</t>
  </si>
  <si>
    <t>Marcano, Manuel</t>
  </si>
  <si>
    <t>Manuel Marcano</t>
  </si>
  <si>
    <t>D. Francisco Melgarejo, y en el de Zaragoza al Sargento primero D. Ignacio Moreno, y á los Cadetes D. Manuel Marcano y D. Antonio Melero. El Bey se ha servido promover d Teniente en el Regimiento de infantería de Córdoba al Subteniente D. Josef Alvarez Campana; y á segundo Ayudante en el batallón de</t>
  </si>
  <si>
    <t>Marcelino Benet y Valis</t>
  </si>
  <si>
    <t>la villa de Castellón de la Plana, diócesis de Tortosa, vacante por muerte de D. Joaquín Vicent, á D. Marcelino Benet y Valis. Con ei fin de fomentar con el premio la aplicación y aprovechamiento en ios estudios de los caballeros Cadetes de los cuerpos de la infantería del exército, tuvo el Rey á bien su</t>
  </si>
  <si>
    <t>Marcelino de la Huerga, Felipe</t>
  </si>
  <si>
    <t>Felipe Marcelino de la Huerga</t>
  </si>
  <si>
    <t>de los de Avila, Segovia, León y Betanzos á D. Antonio Martínez de Aguirre y Soto, D. Miguel Diez, D. Felipe Marcelino de la Huerga, D. Benito María de Castro y D. Joaquín de Ponte, los quatro últimos Tenientes de los mismos cuerpos: á Tenientes de granaderos de los de Laredo, Segovia y Lorca á los de fusilero</t>
  </si>
  <si>
    <t>Marcelino García Riofrio</t>
  </si>
  <si>
    <t>regado al de Avila.: Tenencias de fusileros de ios de Jaén, Tuy, Murcia y Lorca, á los Subtenientes D. Marcelino García Riofrio, D. Jacinto Gómez Figueroa, D. Juan Gil de Pareja y D. Josef Genant: la Subtenencia de granaderos del de Bujalance al Subteniente de fusileros D. Juan Josef de Lara; y la de bande</t>
  </si>
  <si>
    <t>Marcelino Pereyra, Luís</t>
  </si>
  <si>
    <t>Luís Marcelino Pereyra</t>
  </si>
  <si>
    <t>g Quadrado, Capitán del de Almánsa , tercero de cazadores. En atención á los méritos y servicios de D. Luís Marcelino Pereyra, Oidor d e la Chancillería dé Valladolid, y Corregidor actual del Señorío de Vizcaya, ha venido S. M. en concederle plaza supernumeraria de Alcalde de su Real casa y corte; y asim</t>
  </si>
  <si>
    <t>Marcelino Pereyra, Luis</t>
  </si>
  <si>
    <t>Luis Marcelino Pereyra</t>
  </si>
  <si>
    <t>a servido nombrar para la plaza de Oidor de la Chancillería de Valladolid, vacante por promoción de D. Luis Marcelino Pereyra á una supernumeraria de Alcalde de su Real casa y corte, á Don Ramón López Pelegrin. También se ha servido nombrar para la vara de Alcalde mayor de la ciudad de Almuñecar y villa</t>
  </si>
  <si>
    <t>Marcelino Robles y Cosío</t>
  </si>
  <si>
    <t>imple de S. Pedro de la Hoz, en el Arzobispado de Burgos, por muerte de D. Alonso Calderón Bravo, á D. Marcelino Robles y Cosío , Cura del lugar de Canduela, en el mismo Arzobispado; y para el Beneficio simple de Santa María de Anayo, en la Diócesi de Oviedo, por fallecimiento de D. Diego Noriega de Bada,</t>
  </si>
  <si>
    <t>Marcelino Sánchez Rangel</t>
  </si>
  <si>
    <t>os á Canongía de la misma, y por no haber tenido efecto el nombramiento que S. M. hizo para ella en D. Marcelino Sánchez Rangel, por decreto de 11 de Setiem</t>
  </si>
  <si>
    <t>Marcelino Sánchez Rangels</t>
  </si>
  <si>
    <t>ra párroco de Carriches: para la de Salamanca-, vacante por muerte de D. Francisco Montero Gmjon, á D. Marcelino Sánchez Rangels : para la de Málaga, vacante por fallecimiento de D, Agustín Galindo, á D. Josef Navarrete, Capellán de honor</t>
  </si>
  <si>
    <t>Marcell, Domingo</t>
  </si>
  <si>
    <t>Domingo Marcell</t>
  </si>
  <si>
    <t>la Oficialidad de su Real Armada. ” *■' , -o • * . .) ;ii • A Tenientes de Naaiío lc¡¡í de Fragata D. Domingo Marcell, que ec^grsídmiado, D. Leandro de Ocio, que lo era igualmente, D. Josef CieafueggP'S 1 D. Josef María Blak, D. Simón Mesía, D. Josef Godoy, D. Manuel Scoroez, D.Manuel Arévalo , D</t>
  </si>
  <si>
    <t>Marcelo Merano</t>
  </si>
  <si>
    <t>corte con algún intervalo, se previene ser este el tercero y último. Se desea saber el paradero de D. Marcelo Merano, que sirvió en el Real cuer</t>
  </si>
  <si>
    <t>Marchámalo, Francisco</t>
  </si>
  <si>
    <t>Francisco Marchámalo</t>
  </si>
  <si>
    <t>. M. se ha servido nombrar para una Canongía de la catedral de Cuenca, vacante por fallecimiento de D. Francisco Marchámalo, al Cardinal de la santa iglesia Romana Hércules Consalvi, dispensándole, para que pueda obtenerla, el impedimento de no ser natural de estos reynos: para el Arcedianato titular d</t>
  </si>
  <si>
    <t>Marcial Fraricisco</t>
  </si>
  <si>
    <t>a p'eWoná'quedos-haya retdgido ó;sépavsu paraderb, íoS éntfe-'4* gara ó dará avisó á los expresados D. Marcial Fraricisco del'Adalid eft':ía Ccirunat . D. Juan Lozanecen Poiitevedra, y en esta corté á D. Manuel de Sampéiáyb. ’•’* . ,l En 2 2 de Febrero próximo pasado desdé Salamanca á Zamora se perdió úñ</t>
  </si>
  <si>
    <t>Marco, Manuel</t>
  </si>
  <si>
    <t>Manuel Marco</t>
  </si>
  <si>
    <t>da, de que actualmente se compone el Consejo de Hacienda; y hallándose vacante por fallecimiento de D. Manuel Marco, ha venido S. M. en conferirla á D. Víctor Rascón Cornejo. Asimismo ha venido S» M. en conceder los honores del referido Consejo de Hacienda á D. Francisco González de Estéfani, C</t>
  </si>
  <si>
    <t>Marcorelle</t>
  </si>
  <si>
    <t>ompletar nuestra prosperidad. CUERPO LEGISLATIVO. En la junta del 2$ propuso el ciudadano Marcorelle se erigiese en la sala; del cuerpo un monumento al gefe supremo del estado , cuya imagen decorase aquel augusto santuario. „Elevemos, dixo, al restaurador de l</t>
  </si>
  <si>
    <t>abia de presentar al primer Cónsul el .decreto de este dia dado á propuesta del ciudadano Marcorelle.__ El Cuerpo legislativo se separó. ESPAÑA. Vitoria 2 de Abril. María Catalina de Irazuegui nació en i.° de Marzo de 1717 en la anteiglesia de Echaguen,del val</t>
  </si>
  <si>
    <t>Marcus Se</t>
  </si>
  <si>
    <t>n, Malfatti, Mn, Hrera , Emiliani &amp;c. se han distinguido mas que otro alguno en su comprobación. El Dr. Marcus Se ha tomado el digno trabajo de emplear todo su cuidado en indagar la verdad, y comprobar por su parte los principales fundamentos de la doctrina browniana, observando las verdadera</t>
  </si>
  <si>
    <t>Mareos de la Peña</t>
  </si>
  <si>
    <t>jores esperanzas de un buen agricultor , se dio á D. Mariano de Sautander y Aivarez, y el tercero á D. Mareos de la Peña. En la cátedra de geografía , baxo la dirección de D. Antonio de la Peña, se sorteó el primer premio entre D. Félix Fernandez Cavada y D. Miguel Victorica, decidiendo la suerte en</t>
  </si>
  <si>
    <t>Margolles, Bartolomé</t>
  </si>
  <si>
    <t>Bartolomé Margolles</t>
  </si>
  <si>
    <t>5°2 Se desea saber el paradero de Bartolomé Margolles, vecino y natural del lugar de Romillin, hijo de Franciscoy María’Vega, dé edad de 40 años, y hace que falta 14: hubo noticias que estaba en’Sevilla 9 años hace en el convento de la Orden</t>
  </si>
  <si>
    <t>María, Duquesa</t>
  </si>
  <si>
    <t>Duquesa María</t>
  </si>
  <si>
    <t>e de Rusia cerca del Duque de Saxonia- Weyraar, para notificarle de oficio el casamiento de la Gran Duquesa María con el Príncipe heredero de Saxonia-Weymar, llegó el 6 á Weymar; y concluida su embaxada, presentó al Duque Regente, de parte del Emperador de Rusia, las tres grandes Ordenes de R</t>
  </si>
  <si>
    <t>María, Princesa</t>
  </si>
  <si>
    <t>Princesa María</t>
  </si>
  <si>
    <t>ensar y de escribir, pues solo se establece para precaver el abuso que pudiera hacerse de ella." La Princesa María y su esposo, el Príncipe heredero de Weymar, saldrán mañana de aquí, acompañándoles la Emperatriz madre á algunas leguas de la capital. HUNGRIA. Semlin € de Octubre. Antes de ayer l</t>
  </si>
  <si>
    <t>Mariana</t>
  </si>
  <si>
    <t>esta, en 3915 rs. Otra en la calle del Relox, núm. 4, en 19,381 rs. Otra solar en la puentezuela de Doña Mariana, en 3290 rs. Y la casa de la hacienda Matriz alta, sita en la sierra de dicho término, con sus dos albercas grandes, y un trozo de torre antigua, en 8350 rs. La hacienda titulada</t>
  </si>
  <si>
    <t>o á los Reales decretos , las (incas que corresponden á Ja vinculación qutí en dicha villa fundaron Doña Mariana y D. Gerónimo Pacheco y Losa, para cuyo remate se ha señalado el día 2 de Enero de 1805 en el lugar acostumbrado: advirtiéndose que dichas fincas se hallan tasadas todas juntas ó en u</t>
  </si>
  <si>
    <t>Mariana Mendez</t>
  </si>
  <si>
    <t>an que fué de Lugo; á Jos herederos de D. Joaquín de Lorza ; á los dé D. Pedro Libarona, y á los de Doña Mariana Mendez, vecina ..deQuito, para que en término de un año, perentorio y .preciso, contado desde la .publicación de este aviso,"comparezcan, por sí ó por procurador en el juzgado del Sr.: D</t>
  </si>
  <si>
    <t>Mariano</t>
  </si>
  <si>
    <t>de 1^95 , y especialmente á los herederos del Sr. Marques de Glices; á D. Josef Gregorio Alegría; á D. Mariano ¿Icnriquez de Guzman, Cura Beneficiado del pueblo de Fillaró, en el Corregimiento de Ambato, en la comprehension del obispado de Quito; á D. Manuel Novales Ancostrena , Dean que f</t>
  </si>
  <si>
    <t>Maríano</t>
  </si>
  <si>
    <t>l Gib deda Torre. S, M. se ha ^ervidaboüo^der título* de Barón, con la deñothinacion de Salílias, á-D. Maríano; dé Pedro , vecino de la ciudad de. Alcañiz;, sus herederos y.sucf-sores- ■ • r‘ ;</t>
  </si>
  <si>
    <t>Mariano Acedo Rico</t>
  </si>
  <si>
    <t>ompañías en los regimientos de infantería de Granada y voluntarios de Estado á sus caballeros Pages D. Mariano Acedo Rico y D. Rafael Goycochea; y en el de Cantabria al Ayudante, graduado de Capitán, D. Jacinto García, como también Tenencia en el de Ultonia al Subteniente de granaderos D. Carlos Montigna</t>
  </si>
  <si>
    <t>Mariano Alonso</t>
  </si>
  <si>
    <t>ha*servido nombrar para la plaza de Oidor de la Chancillería de Valladolid, vacante por ascenso de D. Mariano Alonso á otra de Alcalde cíela Real casa y corte, á D. Domingo de Santa María y Salamanca , Oidor supernumerario de dicha Chancillería : para la que ha</t>
  </si>
  <si>
    <t>n 973,870 rs., acuda en el término de 30 dias, contados desde 15 del corriente, ante el Sr. Alcalde D. Mariano Alonso, que por indisposición de su compañero el Sr. D. Joaquín Herran despacha su audiencia y negocios, y escribanía de. provincia de D. Miguel García de la Madrid , que se admitirán la</t>
  </si>
  <si>
    <t>da en él en 89,414 rs., y dan por ella la misma cantidad en vales Peales, acuda ante el Sr. Al aíde D. Mariano Alonso, que por indisposición de su compañero el Sr. D. Joaquín Herran, despacha su audiencia y negocios, y por la escribanía de provincia de D. Miguel Josef García de la Madrid, que se</t>
  </si>
  <si>
    <t>01 pies superficiales, justipreciado con su fabrica nueva en 973,870 rs., acuda ante el Sr. Alcalde D. Mariano Alonso, que por indisposición de su compañero el Sr. D. joaquin fierran, despacha su audiencia y negocios, y escribanía de provincia de D. Miguel García de la Madrid, con la precisa'circ</t>
  </si>
  <si>
    <t>Luis de Mata Araujo, que vive en la calle del Caballero de Gracia. Presidió estos exercicios el Sr. D. Mariano Alonso, del Consejo de S. M., Alcalde de su Real casa y corte, por comisión del supremo Consejo, á quien se dedicáron. Abrió el acto el primer dia el discípulo D. Sebastian de los Reyes,</t>
  </si>
  <si>
    <t>s superficiales, tasada, con la fábrica construida en él, en 149,521 rs., acuda ante el Sr. Alcalde D. Mariano Alonso , y escribanía de provincia de D. Miguel Josef García de la Madrid, en el término de 30 dias, contados desde el 11 del presente. Los maestros arquitectos que quisieren executar va</t>
  </si>
  <si>
    <t>quadrados superficiales, valuada, con su fábrica nueva, en 973,870 rs.-, acuda ante el Sr. Alcalde D. Mariano Alonso, y escribanía de provincia de D. Miguel Josef García de Ja Madrid, que se le admitirán las que hiciesen en vales Reales, ó en metálico, en el término de 20 dias contados desde el</t>
  </si>
  <si>
    <t>dar D. Miguel López Ximenez y Doña María Teresa Muñiz su muger, difuntos, aouda ante el Sr. Alcalde D. Mariano Alonso, y escribanía de provincia de D. Miguel Josef García de la Madrid, en el término de 20 dias contados desde el 1/ del corriente. En virtud de providencia del Sr. D. Manuel María de</t>
  </si>
  <si>
    <t>e de 4901 pies quadrados superficiales,, valuada, con su fábrica, en 973,870 rs., acuda ante el Sr. D. Mariano Alonso, del Consejo de S. M., su Alcalde de Casa y Corte, y escribanía de provincia de D. Miguel Josef García de la Madrid, en el término de 2a dias contados desde el 22 del corriente. E</t>
  </si>
  <si>
    <t>illa, cuyo sitio tiene 8865 pies, justipreciados, con su edificio, en 41,393 rs., acuda ant# el Sr. D. Mariano Alonso, del Consejo de S. M., su. Alcalde de Casa y Corte, y escribanía de provincia de D. Miguel Josef García de la Madrid, en el término de 30 dias contados desde el 6 del corriente. I</t>
  </si>
  <si>
    <t>os, con su fábrica nueva, en 973,870^., que se están subastando por el juzgado de provincia del Sr. D. Mariano Alonso,, del Consejo de S. M., su Alcaide de Casa y Corte, y escribanía de D; Miguel García de la Madrid, se ha señalado el día 17 del corriente, en la propia escribanía , á las doce de</t>
  </si>
  <si>
    <t>ende su sitio 15,905 pies superficiales, valuado, con su fábrica, en 921,640 rs., acuda ante el Sr. D. Mariano Alonso, del Consejo de S. M., su Alcalde de Casa y Corte, y escribanía de provincia de D. Miguel Josef García ele 1^ Madrid; previniendo que para su remate se ha señalado el día 7 de Ene</t>
  </si>
  <si>
    <t>Mariano Ambrosio Escudero</t>
  </si>
  <si>
    <t>3l8 cimiento de D. Mariano Ambrosio Escudero, á D. Ramón Lázaro Dou*. para una Ganongía de la catedral de Gerona, vacante por muerte de I&gt;. Josef Nicolao, á D. Ramón Mirosa: para otra de la colegial de Borjadiócesis de Taraz</t>
  </si>
  <si>
    <t>Mariano Araiz</t>
  </si>
  <si>
    <t>. En el Regimiento de infantería de Córdoba se ha servido el Rey promover á Teniente al Subteniente D. Mariano Araiz. ' La feria de la villa de Híjar, en Aragón, denominada de S. Blas, se ha mandado suspender por ahora, atendidas las actuales circunstancias; y quando se haya de celebrar se anunc</t>
  </si>
  <si>
    <t>Mariano Avellana</t>
  </si>
  <si>
    <t>se ha servido noftibrir para una Canongia de la catedral de Jaca , en lugar y por fallecimiento de D. Mariano Avellana, a D. Josef Ruiz Salinas, Racionero de ellar para el Arcedianaro mular de la catedral de Cádiz, vacante por fallecimiento &lt;feD. Rodrigo Caballero , a D. Manuel Valentín de Nicolás</t>
  </si>
  <si>
    <t>Mariano Bermudez de Gañas</t>
  </si>
  <si>
    <t>árraga, D. Antonio Dávila y Melero, Don Francisco Miíñoz y' Partearroyo, D.'Migúel Lizarza y Tamba, D. Mariano Bermudez de Gañas] P. Josef Salcedo y Zuloaga', D. Ignacio Me^dina y Iluet, D. Josef de Aldána y Perez Roxo , D.Joseph Navarro y Montemayor, D. Manuel: Meñendez Vaides, D. Francisco Quiroga y Osore</t>
  </si>
  <si>
    <t>Mariano Blasco de Orozco, Manuel</t>
  </si>
  <si>
    <t>Manuel Mariano Blasco de Orozco</t>
  </si>
  <si>
    <t>servidero de la. parroquia de S. Miguel de Andujar, diócesis de Jaén , vacante por fallecimiento de D. Manuel Mariano Blasco de Orozco, á D. Pedro. Izquierdo; y para la Capellanía Real que este obtiene en la catedral de Pamplona á D. Francisco Xavier de Villanueva y Goycoa. S. M. ha promovido á Brigadier de cabal</t>
  </si>
  <si>
    <t>Mariano Borbon</t>
  </si>
  <si>
    <t>ía Puerta, Intendente del Real sitio de S. Ildefonso. En América. Al Coronel D. Mariano Borbon, Teniente Coronel del regimiento de infantería de Granada, se ha servido el Rey nombrarle Coronel del regimiento de infantería de Nueva-España. También se ha servido conferir S. M. el emple</t>
  </si>
  <si>
    <t>Mariano Calveton</t>
  </si>
  <si>
    <t>——■— n—i ■■■—■■—I ■ '■ ................... ... ■ '■ MI ■■■■*! ■ ■ ........................... i ■■■ D. Mariano Calveton, vecino de Irun, dirigió en 26 de Octubre último á Don Juan de Buergo, de esta Corte, un vale de 150 pesos, creación de i.° de Enero de este año, núm. 289,808 , con el último endo</t>
  </si>
  <si>
    <t>Mariano Caro</t>
  </si>
  <si>
    <t>de Capitán, D. Bartolomé Lison, de granaderos, D. Joaquín Goyena, idem, D. Josef AHllasante, idem, D. Mariano Caro y D. Pedro Osorio: á Tenientes de granaderos á los de fusileros D. Josef Fernandez Reguera, D. Pedro Bufarull y D. Sebastian Arroyo : á Tenientes á los Subtenientes D. Josef de Osorio</t>
  </si>
  <si>
    <t>Mariano Castro de Gistao</t>
  </si>
  <si>
    <t>para cobrar un crédito que tiene á su favor y contra un Conductor de trenes en aquel departamento. Don Mariano Castro de Gistao, autor del nuevo método de enseñar á los ciegos de ámbos sexos Ja música teórico-práctica, ha reducido ahora sus lecciones al numero de 80, sin embargo de que los mejores profesor</t>
  </si>
  <si>
    <t>Mariano Ceverio</t>
  </si>
  <si>
    <t>eniente de granaderos, graduado de Capitán, D. Diego Reguera; Tenencia al Subteniente de granaderos D. Mariano Ceverio, y Subtenencia de bandera al Cadete D. Cayetano Baiviani: en el de Extremadura Tenencia al Subteniente de granaderos D, Antonio Zafra; y Subtenencia de bandera al Cadete D. Pedro</t>
  </si>
  <si>
    <t>Mariano de Becerrii</t>
  </si>
  <si>
    <t>Píasencia y Avila d los Subtenientes D. Pedro Lobo, D. Josef Barbachano , D. Tomas de Soldevilla, y D. Mariano de Becerrii; á Subteniente de granaderos del de Cuenca al de fusileros D. Benito Ramos Novillo ; y á Subtenientes de bandera de los de Laredo, Sigtienza y Ecija á D. Bernardino González de Ag</t>
  </si>
  <si>
    <t>Mariano de la Pedrueza y Garita</t>
  </si>
  <si>
    <t>la librería de Alonso, frente á S. Felipe el Real, á 3 rs. Ensayo de poesía latina y castellana de D. Mariano de la Pedrueza y Garita, niño de 11 á 12 años, en bella edición y papel. Se vende en la librería de Ranz¿ calle de la Cr.uz. Variaciones al fortepiano por D. Félix Máximo López, Organista de la capilla R</t>
  </si>
  <si>
    <t>Mariano de Mendoza, Ignacio</t>
  </si>
  <si>
    <t>Ignacio Mariano de Mendoza</t>
  </si>
  <si>
    <t>ef Antonio de Mestas : para el de la de Lbeda á D. Josef Fernandez Quevedo: para el de la de Loxa á D. Ignacio Mariano de Mendoza: para el de la de Jaén á D. Antonio María de Lomas: para la vara de Alcalde mayor de las nuevas poblaciones de Sierramorena á D. Josef María Otero: para la de Alcalde-mayor , segu</t>
  </si>
  <si>
    <t>Mariano de Santander</t>
  </si>
  <si>
    <t>en favor de- aquel, y quedando por lo mismo para este el premio segundo. El tercero, sorteado entre D, Mariano de Santander</t>
  </si>
  <si>
    <t>Mariano de Sautander y Aivarez</t>
  </si>
  <si>
    <t>sin embargo de que ha hecho progresos, y da las mejores esperanzas de un buen agricultor , se dio á D. Mariano de Sautander y Aivarez, y el tercero á D. Mareos de la Peña. En la cátedra de geografía , baxo la dirección de D. Antonio de la Peña, se sorteó el primer premio entre D. Félix Fernandez Cavada y D. Migu</t>
  </si>
  <si>
    <t>Mariano del Rivero</t>
  </si>
  <si>
    <t>Diego García Conde; á Sargento mayor al Capitán D. Josef María Echeagaray, y á Capitán al Teniente D. Mariano del Rivero. El Rey se ha servido promover á Capitanes del batallón de milicias disciplinadas de infantería de blancos de Valencia 4-en la provincia de Venezuela, á los Tenientes D. Pedro Gar</t>
  </si>
  <si>
    <t>Mariano Díaz, Lorenzo</t>
  </si>
  <si>
    <t>Lorenzo Mariano Díaz</t>
  </si>
  <si>
    <t>del término de 30 dias, cantados desde el 14 de Junio. Se cita, llama y emplaza á los acreedores de D. Lorenzo Mariano Díaz de ia Madrid, natural de la-ciudad de S. Francisco de Quito, reyno del Perú, que falleció en esta corte á 12 de Setiembre de 1^95 , y especialmente á los herederos del Sr. Marques de</t>
  </si>
  <si>
    <t>Mariano Espinosa</t>
  </si>
  <si>
    <t>luego que.llegué a este pais. Soy de V. &amp;c.” De. otra carta escrita á D. Casimiro. Gómez Ortega por.D, Mariano Espinosa , cirujano empleado por S. M. en la Havana, consta „ que el Baron-y Mr. Bompland han visitado su jardín; que les-ha regalado una;, caxa de muy. raras semillas ; que- se-- disponia</t>
  </si>
  <si>
    <t>Mariano Fantoni</t>
  </si>
  <si>
    <t>Guadalaxara y Voluntarios de Castilla Subtenencias de bandera á los Cadetes 0. Joaquín Valdivieso y D. Mariano Fantoni. S. M. se ha servido nombrar Gefe de brigada del segundo regimiento del Real cuerpo de Artillería al Capitán primero del primer regimiento 0. Jayaie de Silva. Se previene á los su</t>
  </si>
  <si>
    <t>Mariano Felez</t>
  </si>
  <si>
    <t>onel Don Cristóbal Mariano, Capitán del mísmo cuerpo. En atención á las circunstancias y calidad de D. Mariano Felez , vecino del lugar de Ateca, reyno de Aragón , y á los servicios hechos á S. M. y al publico , se,ha servido concederle privilegio de hidalguía para sí, sus hijos y sucesores por</t>
  </si>
  <si>
    <t>Mariano Fvodriguez de Olmedo</t>
  </si>
  <si>
    <t>Pedro Josef Mansilla , se há servido S. M. nombrar á D. Juan Josef Ortiz de Rozas: para su Ración á D. Mariano Fvodriguez de Olmedo, y para la Media-Ración, que este dexa, á Don Francisco Borja de Saracivar, Cura en aquel arzobispado : para una Canongía de la catedral de Truxiilo del Perú á D. Josef Valdivieso</t>
  </si>
  <si>
    <t>Mariano Galan</t>
  </si>
  <si>
    <t>a villa de, Alanis, en el arzobispado de Sevilla, vacante por muerte de D. Manuel Josef Delgado*, á D. Mariano Galan: para las dos l erdas Prestameras de la parroquial de la villa de Sta. Olalla , en el'mismo arzobispado, vacaiites por fallecimiento de D. Josef Madrigal, á D. Pablo Gómez Négiete</t>
  </si>
  <si>
    <t>Mariano Gañestro</t>
  </si>
  <si>
    <t>a D. Anselmo Plaza: á Capitanes de fusileros de los de Ronda y Toledo á los Tenientes de granaderos D. Mariano Gañestro y D. Clemente Garoz: á Teniente de granaderos del de Valladolid al de fusileros D. Cárlos Burgueño : á Tenientes de fusileros de los de Badajoz, Toro , Laredo y Betanzos á los Subteni</t>
  </si>
  <si>
    <t>Mariano Gascón</t>
  </si>
  <si>
    <t>de granaderos Esteban de Liñan^ á Ayudantes á los Tenientes. D; Miguel Quintana, D. Pedro Duran y. D. Mariano Gascón ; á Teniente de granaderos al de fusileros D. Diego de Salas; á Tenientes á tos Subtenientes de granaderos D.; Josef Bergaña., D* Mauricio Fornell y D- Josef Villa, al de fusilero</t>
  </si>
  <si>
    <t>Mariano Gil</t>
  </si>
  <si>
    <t>cuya circunferencia será' como de 3 leguas largas. De todas sus circunstancias dará razón en Madrid D. Mariano Gil, comerciante en la calle de la Montera, en Granada D. Pedro Montoya, Abogado de los Reales Consejos, y en la dicha villa de la Peza D. Josef Fernandez Hermoso, Escribano de su Ayu</t>
  </si>
  <si>
    <t>Mariano Guerra, Domingo</t>
  </si>
  <si>
    <t>Domingo Mariano Guerra</t>
  </si>
  <si>
    <t>ción de la metropolitana de Charcas á D. Juan de Dios Balanza: para la Media-Ración que este dexa á D. Domingo Mariano Guerra, Capellán mayor y Vicario de exército en aquella ciudad: para otra de la metropolitana de México á D. Ignacio Josef Pico ; y para su Media-Ración á D. Juan Cienfuegos, Cura de la</t>
  </si>
  <si>
    <t>Mariano Ibáñez</t>
  </si>
  <si>
    <t>l Carrasco, ambos graduados de Capitán: Tenencias en los de Cantabria y Asturias á los Subtenientes D. Mariano Ibañez y D. Cristóbal Bolaño; y Subtenencias de bandera en ei de la Princesa á los Cadetes D. Domingo Quadriileroy D. Mariano Muñoz. El Rey se ha servido conferir Compañía en el regimiento d</t>
  </si>
  <si>
    <t>quera:. Mendoza, Guerra de Granada, Gramática castellana.___'Sintaxis . Propiedad ¿y Prosodia. 1 °: D. Mariano Ibañez: Diccionario de la lengua castellana, Comentarios de César,, traducción de Goya,. con estampas, í tomos en 4.0 2.0; D. Josef Isla*. Comentarios de César, con la traducción de</t>
  </si>
  <si>
    <t>Mariano Jurado</t>
  </si>
  <si>
    <t>ima, á D. Miguel Roig, Sargento primero veterano del batallón de Milicias de Españoles de Lima, y á D. Mariano Jurado, Sargento primero de la plana mayor de Blancos, agregada al batallón de Milicias disciplinadas de Pardos libres de Lima: para el empleo de Capitán de la compañía de dragones de Ch</t>
  </si>
  <si>
    <t>Mariano Lafuentey</t>
  </si>
  <si>
    <t>lcalde-mayor , segundo de la ciudad de Córdoba, á D. Josef Omulrian: para la de la villa de Yepes á D. Mariano Lafuentey</t>
  </si>
  <si>
    <t>Mariano Leones</t>
  </si>
  <si>
    <t>Santiago, D'. Joaquin Fernandez, D. Bernardo Meruendano, D. Josef del Hoyo,D. Francisco de Murías, D. Mariano Leones, D. Josef Nuñez, D. Francisco Enrile, D. Juan Gaideano, D. Josef Burgués de Mesiessi, D. Manuel Lizarza, D. Josef Aznar y ¿.Francisco Simón Perez de Grandallana. A Alféreces de Na</t>
  </si>
  <si>
    <t>Mariano Luzardo</t>
  </si>
  <si>
    <t>Antonio María Degres: en: el de Cantabria al Cadete del cuerpo veterano de infantería de Maracaybo D. Mariano Luzardo; y en el ae Extremadura al Cadete del mismo regimiento D. Josef María López Loarte. También se ha servidoS. M. nombrar en el regimiento de caballería de Algarbe, noveno de línea,</t>
  </si>
  <si>
    <t>Mariano Mascorü</t>
  </si>
  <si>
    <t>, á D. Baltasar Jal: para otro de la catedral de Gerona, vacante por muerte de D. Francisco Püig, á D. Mariano Mascorü; y para otro de la misma catedral de Gerona, vacante por fallecimiento de D. Pedro Costa , á D. Felipe Ordis. En los regimientos Provinciales ha nombrado el Rey Sargento mayor del</t>
  </si>
  <si>
    <t>Mariano Molina</t>
  </si>
  <si>
    <t>se sorteasen entre los actuantes, porque todos eran acreedores á premio; pero les cupo eii suerte á Don Mariano Molina, D. Josef Alamillo, D. Josef Valdasano y D. Rafael Suarez: estos distintivos de las indicadas aplicaciones, y para estímulo de los demas, se les colocó en el pecho; practicándose</t>
  </si>
  <si>
    <t>Mariano Montoya</t>
  </si>
  <si>
    <t>. En el Real cuerpo de Artillería se ha servido el Rey promover á Capitanes primeros á los segundos D. Mariano Montoya y D. Luis Gastón; y á Capitanes segundos á los Tenientes D. Luis Menendez, D. Ignacio Cincúnegui, D. Pascual Antillon, D. Joaquín Hidalgo, D. Joa'quin Lirón, D. Francisco Bermudez y D</t>
  </si>
  <si>
    <t>Mariano Ortiz</t>
  </si>
  <si>
    <t>s de bandera D. Fernando Otal, D. Pedro Quiros y D. Antonio María Bayot, y á los Sargentos primeros D. Mariano Ortiz y D. Josef Dimalanta; y á Subtenientes de bandera á los Cadetes D. Josef Aguirre, D. Josef María Bayot, D. Joaquín María Bayot y D. Manuel Vicente Corrales. En el de Milicias discipli</t>
  </si>
  <si>
    <t>Mariano Osorio</t>
  </si>
  <si>
    <t>servido el R ey ascender á Capitanes primeros á los segundos D. Carlos Espinosa, D. Manuel del Rio, D. Mariano Osorio y D. Vicente Novella: habiendo también promovido S. M. á Comisario de Guerra del exército y del departamento de Artillería de Cartagena á D. Antonio Biezma, Comisario de Artillería, h</t>
  </si>
  <si>
    <t>Mariano Ricafort</t>
  </si>
  <si>
    <t>En el regimiento ce infantería del Príncipe se ha servido el Rey promover á Teniente al Subteniente D. Mariano Ricafort: á Capitanes primeros en el primer batallón de Voluntarios de Aragón, y en el segundo de Barcelona al Capitán segundo D. Francisco de Paula Vázquez, y al primer Ayudante D. Tomas</t>
  </si>
  <si>
    <t>Mariano Romero</t>
  </si>
  <si>
    <t>aderos al de fusileros D. Antonio Cayre, y á Subteniente de bandera al Sargento primero distinguido D. Mariano Romero. Por el Ministerio de Guerra se ha comunica Jo el siguiente reglamento en que S. M. se digna señalar recompensas seguras y proporcionadas á los servicios y mérito de los Capellane</t>
  </si>
  <si>
    <t>Mariano Rovira</t>
  </si>
  <si>
    <t>de la parroquial de Sea. María de la villa de Piera, obispado de Barcelona, vacante por dimisión de D. Mariano Rovira, á D. Joaquín Grau.. En el regimiento de Almansa, tercero de cazadores, se ha servido et Rey conferir el empleo de Teniente Coronel ai Sargento mayor, graduado de Teniente Coronel</t>
  </si>
  <si>
    <t>Mariano Santander</t>
  </si>
  <si>
    <t>ieto; y el de tercera clase , que consistía en el tratado de la huerta de Boutelou, se distribuyó á Don Mariano Santander, D. Josef Romo, D. Tomas Pereda y D. Antonio Corde ro. En 1a escuela de costura, que dirige Doña Gregoria Bergaño, se distribuyó el primer premio, que consiste en una medalla de p</t>
  </si>
  <si>
    <t>Mariano Soto y Llano</t>
  </si>
  <si>
    <t>: á Teniente al Subteniente de granaderos D. Víctores Navajas; y á Subteniente de bandera al Cadete D. Mariano Soto y Llano. El Teniente de Navio D. Agustín Blondo Zavala, segundo Comandante de la fragata de S. M. ^nombrada Anfitrite, ha dado cuenta á la Superioridad desde AIgecíras,en 6 de este mes, d</t>
  </si>
  <si>
    <t>Mariano Villanova</t>
  </si>
  <si>
    <t>teos y D. Miguel de Artola; y en el batallón de Voluntarios de Campomayor á Teniente aL Subteniente D. Mariano Villanova. La Real Academia del Derecho Español, en junta de 14 del corriente, ha premiado con una medalla académica de cobre el particular talento y aplicación que en el discurso del año h</t>
  </si>
  <si>
    <t>Mariano Zorraquin</t>
  </si>
  <si>
    <t>o Subtenientes de bandera de los de Avila, Salamanca, Bujalance, Granada,Málaga, Cuenca y Alcázar á D. Mariano Zorraquin,D. Miguel Antonio de Toledo y Estrada , D. Rafael de Molina, D. Josef Oliver, D. Tomas Cantero y Acosta, D. Juan Antonio Escalante, y D. Josef Antonio Quirds..,</t>
  </si>
  <si>
    <t>Laredo, Avila y Chinchilla á los de fusileros D. Gaspar Escapa y Leal, D. Josef Falla y la Fuente, D. Mariano Zorraquin y D. Esteban Marbeuf; y á Subtenientes de bandera de los de Avila y Chinchilla á D. Miguel de Becerril y D. Miguel Gallego de Gallego y Valcarcel. En atención á los méritos y circunst</t>
  </si>
  <si>
    <t>Mariano, Rafael</t>
  </si>
  <si>
    <t>Rafael Mariano</t>
  </si>
  <si>
    <t>Subteniente de granaderos al de fusileros D. Casiano de Moya; y á Subteniente de bandera al Cadete D. Rafael Mariano .Ferrer. _ i1 , ’ En cumplimiento de las Reales cédulas de S. M.. de i i de Julio y 2q de Noviembre de 1797 &gt; se recibirán en la Tesorería mayor y en las de exdrcito desde r.° de</t>
  </si>
  <si>
    <t>Máríar Rosique, Vicente</t>
  </si>
  <si>
    <t>Vicente Máríar Rosique</t>
  </si>
  <si>
    <t>D. Ignacio Bernardini y D. Eugenio Villásana; y_á los Cadetes D. Pablo de Traba , D. Josef Withe , D. Vicente Máríar Rosique , D. Guillermo Berard y D. Gabriel Jaume. En el Real cuerpo de Artillería se ha servido el Ríe Y promover á Te—1 nientes Coroneles á los Gefes de brigada D. Francisco Datoli , gra</t>
  </si>
  <si>
    <t>Marín, Juan Manuel</t>
  </si>
  <si>
    <t>Juan Manuel Marín</t>
  </si>
  <si>
    <t>ey promover á Capitán efectivo al agregado D. Vicente Caravallo y Goyeneche; á Ayudante al-Teniente D. Juan Manuel Marín; á Tenientes á los Alféreces D. Manuel Perez, D. Antonio Perez, D. Blas Pintos y D. Juan Bartolomé Rondeau; á Alféreces á los Portaguiones D. Salvador Moreyra y D. Juan Francisco</t>
  </si>
  <si>
    <t>Marin, Ramón</t>
  </si>
  <si>
    <t>Ramón Marin</t>
  </si>
  <si>
    <t>udantía en el regimiento de infantería de Valencia al Teniente de granaderos, graduado de Capitán , Don Ramón Marin ; y tenencias eri los: Inmemorial del Rey y Ordenes Mili</t>
  </si>
  <si>
    <t>Marmont, General</t>
  </si>
  <si>
    <t>General Marmont</t>
  </si>
  <si>
    <t>miento de Güeldres y otros departamentos limítrofes para ir á Utrecht, en donde les pasa revista el General Marmont, y las exercita en las maniobras analogas a su destino. Se contaban ya 6© hombres de tropas francesas en aquella ciudad, adonde concurren muchos curiosos á verlas. Muchos Generale</t>
  </si>
  <si>
    <t>Gobierno de Estado, para cubrir el defteii en la hacienda de República. Ha pasado por Dordrecht el General Marmont, con dirección á Zelanda; se asegura que pasará por Ambéres y Bruselas, y que-Iuego se restituirá al campo de XJtrech. ? • Los ingleses han comenzado de nuevo su piratería en nues</t>
  </si>
  <si>
    <t>onducido las tiendas del Comandante en gefe , de los Generales y Oficiales del estado mayor; la del General Marmont está dividida en S piezas, en una de las quales puede haber una mesa para 40 cubiertos. Dicha tienda es impenetrable al agua, Amsterdam 3 de Julio. Se ha escapado del poder de los i</t>
  </si>
  <si>
    <t>ostas.de la -Holanda septentrional , ha venido del campamento de Utrecht en donde ha tratado con el General Marmont sobre algunos puntos de su encargo. Se cree que el Vice-Almirante Verhuei se detendrá poco tiempo en esta ciudad. Fueron muy animados, los debates que hubo eri 27 en la ultima jun</t>
  </si>
  <si>
    <t>n en Hamburgó y sus c ercanías. En Bcotheim ha tenido una conferencia el Mariscal Bernadotte con el General Marmont, Comandante en gefe de las tropas Francesas que hay en Holanda. Ya van trayéndose ál Electorado de HannÓver los muchos cañones que se habían sacado: parece que se colocarán en las</t>
  </si>
  <si>
    <t>Marqueli y Rusell, Miguel</t>
  </si>
  <si>
    <t>Miguel Marqueli y Rusell</t>
  </si>
  <si>
    <t>Ultonia y Voluntarios de la Corona, a l*os Cadetes D. Baltasar Echavarría, D. Pedro Pablo Quiroga, D. Miguel Marqueli y Rusell y D. Luis del Corral; y en el expresado de Ultonia al Sargento primero D. Miguel Sola. En los regimientos de caballería de línea del Rey y del Infante se ha servido S. M. promover á A</t>
  </si>
  <si>
    <t>Marques de Aviles, Teniente General</t>
  </si>
  <si>
    <t>Teniente General Marques de Aviles</t>
  </si>
  <si>
    <t>, que lo era de la referida villa de Oli venza. En América. En consideración á la avanzada edad del Teniente General Marques de Aviles, se ha servido el Rey exonerarle del Vireynato del Perú, y lo ha conferido con la Presidencia de la Real Audiencia de Lima al Mariscal de Campo D. Josef Fernando Abascal jy'él Vir</t>
  </si>
  <si>
    <t>Marques de Bellisca</t>
  </si>
  <si>
    <t>mientos Provinciales ha conferido el Rey el empleo de CoroneL del de Segovia al Marques de Bellisca, Teniente Coronel agregado al de Avila.: Tenencias de fusileros de ios de Jaén, Tuy, Murcia y Lorca, á los Subtenientes D. Marcelino García Riofrio, D. Jacinto Gómez Figueroa, D. Juan Gil d</t>
  </si>
  <si>
    <t>Marques de Casa Palacios</t>
  </si>
  <si>
    <t>s ; el Duque del Parque, Grande deEspaña de primera clase, Teniente General; el Marques de Casa Palacios, Coronel del Regimiento de infantería de Voluntarios de Estado; el Caballero Goyeneche , Capitán en el mismo Regimiento; D. Eugenio Izquierdo, del Consejo de S. M. en el Supremo de Guerra;</t>
  </si>
  <si>
    <t>Marques de las Hormazas</t>
  </si>
  <si>
    <t>os profesores y á D. Juan Bautista Soldevilla, y ew compañía de ellos y dei Sr. Marques de las Hormazas, Teniente de Hermano mayor de los mismos hospitales, pasó á examinarlos y reconocerlos, y á todos sus enfermos, estancias, y quanto hay en ellos, sin separarse un momento de sus cabeceras,</t>
  </si>
  <si>
    <t>. Gobernador del Consejo de los Reales hospitales de Madrid, acompañado del Sr. Marques de las Hormazas, Teniente de Hermano mayor de los mismos, y de los Médicos de Cámara D. Juan Gamez, D. Manuel Pereyra y D. Juan Bautista Soldevílla, que se publico en la gaVeta de 6 del corriente, núm. 19,</t>
  </si>
  <si>
    <t>Marques de Luchesini</t>
  </si>
  <si>
    <t>ero Rodríguez^ Oficial de Reales Guardias Españolas.__ En la misma audiencia el Marques de Luchesini, Ministro de Prusia, ha presentado al Barón AlexanÓro dTIumboldt, de la Academia de Berlín. ESPAÑA. Madrid 2 o de Noviembre. Ayer se vistió la Corte de gala en el Real Sitio de S. Lorenzo e</t>
  </si>
  <si>
    <t>Marques de Montemorana</t>
  </si>
  <si>
    <t>de Mendoza su muger, de que fué último poseedor D. Francisco de Paula Chamizo, Marques de Montemorana, vecino de la ciudad de Lucena, acudan por su audiencia, y escribanía de provincia de D. Jua .uitonio de Zamacola, á usar de su derecho, dentro del término preciso y único de 40 dias, con</t>
  </si>
  <si>
    <t>Marques del Castelar, Teniente General</t>
  </si>
  <si>
    <t>Teniente General Marques del Castelar</t>
  </si>
  <si>
    <t>a resultado vacante por haber nombrado S. M. Capitán de la Compañía de su Guardia de Alabarderos al Teniente General Marques del Castelar. En el Real cuerpo de Artilleria se ha dignado el Rey promover á Gefe de brigada al Capitán primero D. Josef Musitu; á Capitanes primeros á los Capitanes segundos D. César Gonzále</t>
  </si>
  <si>
    <t>Marques D’Aigremont, Coronel</t>
  </si>
  <si>
    <t>Coronel Marques D’Aigremont</t>
  </si>
  <si>
    <t>ncisco Escofet. Para el Gobierno militar y político de la plaza de Almería ha nom-; brado el Rey al Coronel Marques D’Aigremont, segundo Ayudante ma^ yor del regimiento de Guardias de infantería Walona. Por el Ministerio de Hacienda se ha comunicado , con fecha de 7 de este mes, la Real orden siguiente. Co</t>
  </si>
  <si>
    <t>Marqués Espejo, Antonio</t>
  </si>
  <si>
    <t>Antonio Marqués Espejo</t>
  </si>
  <si>
    <t>dra de poética del Real Seminario de Nobles. Miss Clara Harlóve: drama en tres actos y en verso por D. Antonio Marqués Espejo; suplemento á la historia inglesa del mismo título. Se hallará á 4 rs. en las librerías de Espejo, calle de Jacometrezo, y de Gómez Fuentenebro en la de; las Carretas. Colección d</t>
  </si>
  <si>
    <t>Marques y Espejo, Antonio</t>
  </si>
  <si>
    <t>Antonio Marques y Espejo</t>
  </si>
  <si>
    <t>edidos en la mar, desde el siglo xv hasta el presente ; publicada por el Dr. D. Antonio Marques y Espejo, Presbítero &amp;c.; el quaderno último de esta obra se hallará en las librerías de Espejo, calle de Jacometrezo , y en la de Gómez Fuentenebro, en la de las Carretas; con arreglo á lo prevenido</t>
  </si>
  <si>
    <t>Marques, Domingo</t>
  </si>
  <si>
    <t>Domingo Marques</t>
  </si>
  <si>
    <t>Coria, vacante por promoción de D. Juan Félix Gironda y Blanco á Canónigo de la catedral de León, á D. Domingo Marques,Cura Rector del lugar de Aldea del Cano, de la propia diócesis: para el Beneficio simple servidero de la parroquial del lugar de Macotera , en el obispado de Salamanca, vacante po</t>
  </si>
  <si>
    <t>Márquez de la Plata, Tomás</t>
  </si>
  <si>
    <t>Tomás Márquez de la Plata</t>
  </si>
  <si>
    <t>y en el segundo de Barcelona al Capitán segundo D. Francisco de Paula Vázquez, y al primer Ayudante D. Tomas Márquez de la Plata; y á Subteniente de bandera en el primero de Barcelona ai Cadete de Reales Guardias Españolas D. Joaquín Montero y de Bigodet. En io de Junio último se consagró en la catedral de</t>
  </si>
  <si>
    <t>Márquez, Pedro</t>
  </si>
  <si>
    <t>Pedro Márquez</t>
  </si>
  <si>
    <t>en que se haUa ía^religipu católica en aquellos países. . .•;.-,r • • . A 0,1 y ■; : «.,!&gt; El Abate D. Pedro Márquez.» mexicano.^conocido por las obí;as que h% impresa, sobre la-arquitectura, antiguaj d&amp;&amp; 1 ¿edifioíos..Jrpmanos, y sobre el origen y, progresos del;órden ..‘dóriqo^ ha ipublicado n</t>
  </si>
  <si>
    <t>Marquina, Manuel</t>
  </si>
  <si>
    <t>Manuel Marquina</t>
  </si>
  <si>
    <t>ricordia de Olivencia: para el Préstamo de Sordillos, en el mismp Arzobispado, por fallecimiento de D. Manuel Marquina, á Don</t>
  </si>
  <si>
    <t>Marrugat, Carlos</t>
  </si>
  <si>
    <t>Carlos Marrugat</t>
  </si>
  <si>
    <t>Málaga á D. Manuel Moreno, D. Pascual Ai varez Campana y D. Rafael España y Chico: en el de Jaén á D. Carlos Marrugat: en el de Ordenes Militares á D. Joaquín González de Quevedo: en el de Voluntarios de Castilla á D. Manuel Agulló y D. Ramón Ximenez: en el de Voluntarios de Estado á D. Santiago</t>
  </si>
  <si>
    <t>Marta de Berard, Antonio</t>
  </si>
  <si>
    <t>Antonio Marta de Berard</t>
  </si>
  <si>
    <t>graduados de Capitán, D. Antonio Gástelo y D. Antonio María del Valí; Tenencias á los Subtenientes D. Antonio Marta de Berard y D. Cárlos de Vargas Machuca, este último del extinguido Cuerpo de Ingenieros Cosmógrafos de Estado; y Subtenencia de bandera en el de Extremadura al Sargento primero Don Francisco C</t>
  </si>
  <si>
    <t>Marti, Francisco</t>
  </si>
  <si>
    <t>Francisco Marti</t>
  </si>
  <si>
    <t>da á los Capitanes primeros D.Guillermo MinaLiD. Josel Joaquín de Pineda, D._ Alberto de Córdoba, y D. Francisco Marti: á Capitanes primeros á los Capitanes segundos Don Juan Francisco Azpiroz, D. Josef Velarde,y D. Joaquín Grandona;y á Capitanes segundos á los Tenientes D. Josef Castellar, D. Ped</t>
  </si>
  <si>
    <t>Martinai, Juan</t>
  </si>
  <si>
    <t>Juan Martinai</t>
  </si>
  <si>
    <t>Montera. Tratado metódico, ó modo de explicar la sagrada escritura, escrito en francés por el R. P. D. Juan Martinai, de la congregación dé $. Mauro; un tomo en 8.® á 11 rs. en pasta. = Las mügéres ilustres,.ó arengas héroyeas de Mr. Escuden: t tomos en 8.° á ¿o rs. en pasta. = Arte de manejarse</t>
  </si>
  <si>
    <t>Martínez Alcantarilla, Gerónimo</t>
  </si>
  <si>
    <t>Gerónimo Martínez Alcantarilla</t>
  </si>
  <si>
    <t>S, M. se ha servido nombrar para una Ración de la catedral de Cuenca , vacante por fallecimiento de D. Gerónimo Martínez Alcantarilla, á D. Tomas Minguez , Medio-Racionero de ella: para otra de la de Palencia, vacante por muerte de D. Genaro de Laya, á D. Francisco Xavier Gallego , Beneficiado de Preste de la vi</t>
  </si>
  <si>
    <t>Martínez Aparicio, Andrés</t>
  </si>
  <si>
    <t>Andrés Martínez Aparicio</t>
  </si>
  <si>
    <t>a de Ramiro y Martin. En Sevilla............ D. Joseph Antonio Gómez é hijo. En Soria...............D. Andrés Martínez Aparicio. En Toledo.............Sres. Chavárri y Posadíllól En Toro................ D. Joseph Ligero. ■'■•h En Valencia....... Sres. D. Francisco Peyrolon y compañía. En Valladolid......D.</t>
  </si>
  <si>
    <t>Martínez Cara, Tomás</t>
  </si>
  <si>
    <t>Tomás Martínez Cara</t>
  </si>
  <si>
    <t>a María de Huéscar, en el reyno de Granada, vacante por muerág D. Francisco Xavier de Cocostegui, á D. Tomas Martínez Cara</t>
  </si>
  <si>
    <t>Martínez de Aguilar, Fernando</t>
  </si>
  <si>
    <t>Fernando Martínez de Aguilar</t>
  </si>
  <si>
    <t>mero de granaderos D. Juan de Vargas, y en los de América y Nápoles á los Cadetes D. Pedro Bringas, D. Fernando Martínez de Aguilar y D. Juan Bautista Raggi, el segundo del regimiento de Granada, y el último del de Reales Guardias Walonas. El Rey se lia servido conceder Tenencias en los regimientos de infantería d</t>
  </si>
  <si>
    <t>Martínez de Aguirre y Soto, Antonio</t>
  </si>
  <si>
    <t>Antonio Martínez de Aguirre y Soto</t>
  </si>
  <si>
    <t>provinciales se ha dignado el R ey promover a Capitanes de los de Avila, Segovia, León y Betanzos á D. Antonio Martínez de Aguirre y Soto, D. Miguel Diez, D. Felipe Marcelino de la Huerga, D. Benito María de Castro y D. Joaquín de Ponte, los quatro últimos Tenientes de los mismos cuerpos: á Tenientes de granaderos d</t>
  </si>
  <si>
    <t>Martinez de Aldunate, Antonio</t>
  </si>
  <si>
    <t>Antonio Martinez de Aldunate</t>
  </si>
  <si>
    <t>ago Martinez de Peralta: para el Deanato de la iglesia de Santiago de Chile, vacante por ascenso de D. Antonio Martinez de Aldunate al obispado de Guamanga, á D. Estanislao de Rocavarreno; el Arcedianato qtie dexa al Chantre D. Rafael García Huidobro; la Chantría ¿i Maestrescuela D. Pedro Antonio de Roxas; est</t>
  </si>
  <si>
    <t>Martínez de Aparicio, Andrés</t>
  </si>
  <si>
    <t>Andrés Martínez de Aparicio</t>
  </si>
  <si>
    <t>da de Ramiro y Martin. En Sevilla.......... . D. Joseph Antonio Gómez é hijo. En Soria............. D. Andrés Martínez de Aparicio, En Toledo.............. Sres. Chavarri y Posadillo. En Toro.............. D. Joseph Ligero. En Valencia.......... D. Francisco Peyrolon y compañía. En Valladolid.......D. Francis</t>
  </si>
  <si>
    <t>rde Ramiro y Martin. En Sevilla........... D. Joseph, Antonio, Gómez é hijo. En Soria...............D. Andrés Martínez de Aparicio. En Toledo..... ...... . Sres. Chavarri y Posadillo,. En Toro.............. P.^ jqsepji Ligero,. .. __ , , En Valencia......... Sres. .Francisco Peyrolon y ,compañía. , En Vallado</t>
  </si>
  <si>
    <t>Martínez de Hervás, Joseph</t>
  </si>
  <si>
    <t>Joseph Martínez de Hervás</t>
  </si>
  <si>
    <t>ne que S. M. en el dia ha puesto la distinguida confianza de negociación tan importante al cargo de D. Joseph Martínez de Hervás, de su Consejo en el Supremo de Hacienda, y su actual Encargado de negocios en París, y D. Fernando de la Serna, su Comisario general de comercio en Francia; pues que el tercer co</t>
  </si>
  <si>
    <t>Martínez de León, Antonio</t>
  </si>
  <si>
    <t>Antonio Martínez de León</t>
  </si>
  <si>
    <t>s-Vidal y D. Pedro Regalado Loy? al*Soldado distinguido D. Liborio González , y al Sargento primero D. Antonio Martínez de León., También se ha servido S. M. nombrar .GapellaheS etí dos regimientos de infantería de León y Ultoiña á los presbíteros JD.:Manuel Pedrero y D. Jaynie O-Ra. En el regimiento del R</t>
  </si>
  <si>
    <t>Martinez de Peralta, Santiago</t>
  </si>
  <si>
    <t>Santiago Martinez de Peralta</t>
  </si>
  <si>
    <t>acón; esta Dignidad al Maestrescuela D. Manuel de Salazar; y esta resulta 2I Canónigo Penitenciario D. Santiago Martinez de Peralta: para el Deanato de la iglesia de Santiago de Chile, vacante por ascenso de D. Antonio Martinez de Aldunate al obispado de Guamanga, á D. Estanislao de Rocavarreno; el Arcedianato</t>
  </si>
  <si>
    <t>Martínez del Corro, Luis</t>
  </si>
  <si>
    <t>Luis Martínez del Corro</t>
  </si>
  <si>
    <t>e bandera en el de Sevilla al Cadete del Fixo de Ceuta D. Antonio Novoa: en el de Granada al Cadete D. Luis Martínez del Corro: en el de Valencia al Sargento primero de granaderos D. Pedro Galiano, y al Cadete D. Hilarión Rodríguez: en el de Hibernia al Sargento primero D. Carlos Tiorati: en el de América</t>
  </si>
  <si>
    <t>Martínez Falero, Juan Francisco</t>
  </si>
  <si>
    <t>Juan Francisco Martínez Falero</t>
  </si>
  <si>
    <t>o de Uclés, D. Bernardo Manuel de Cosío, Cura de esta parroquial, el referido D. Vicente, y el Lie. D. Juan Francisco Martínez Falero , con presencia de dichos fragmentos , que se lleváron al mismo sitio, dispusieron hacer y costear una excavación en el mismo parage en que se habían encontrado , pareciéndoles qu</t>
  </si>
  <si>
    <t>costa de los caudales de propios se continuasen dichas'excavaciones, baxo la dirección del referido D. Juan Francisco Martínez Falero, queriendo este proceder con el debido acierto en el desempeño de este encargo , le pareció conveniente obrar de acuerdo con los expresados D. Bernardo Manuel de Cosío, y D. Vicen</t>
  </si>
  <si>
    <t>Martínez Falero, Vicente</t>
  </si>
  <si>
    <t>Vicente Martínez Falero</t>
  </si>
  <si>
    <t>n, dos fragmentos de la lápida sepulcral de un Obispo, llamado Sefronio, que conservaba en su poder D. Vicente Martínez Falero, vecino de esta villa; y habiendo pasado en el de 1789 á reconocer las grandes ruinas y vestigios que hay en dicho sitio, de población romana, el limo. Sr. D. Antonio Tavira, Obis</t>
  </si>
  <si>
    <t>encargo , le pareció conveniente obrar de acuerdo con los expresados D. Bernardo Manuel de Cosío, y D. Vicente Martínez Falero, Académicos todos tres en la clase de correspondientes de la Real Academia de la Historia; y después de haber hecho nuevos reconocimientos del terreno , determinaron, de una confo</t>
  </si>
  <si>
    <t>Martínez Marco, Miguel</t>
  </si>
  <si>
    <t>Miguel Martínez Marco</t>
  </si>
  <si>
    <t>imple servidero de la parroquial de Santa Cruz de la ciudad de Cuenca, vacante por fallecimiento de Don Miguel Martínez Marco, á D. Juan Francisco Pascual, con la carga que tiene anexa de alternar semanahnente con el Cura en la misa y funciones parroquiales: para los Beneficios de Arrancacépas y Viilalvi</t>
  </si>
  <si>
    <t>Martinez Orosa, Antonio</t>
  </si>
  <si>
    <t>Antonio Martinez Orosa</t>
  </si>
  <si>
    <t>y Subtenencia de bandera al Cadete D. Pedro Diaz de Arjona: en el de Málaga Tenencia al Subteniente D. Antonio Martinez Orosa; y Subtenencia de bandera ai Cadete D. Diego S. Román. hn el Regimiento de infantería de Córdobase ha servido S. M. promover á Subteniente de bandera al Cadete D. Manuel López Con</t>
  </si>
  <si>
    <t>Martínez y Tacón, Antonio</t>
  </si>
  <si>
    <t>Antonio Martínez y Tacón</t>
  </si>
  <si>
    <t>n Pedro de la Barreda, D. Ignacio Reguera, D. Josef Zorrilla y Ortiz, Don Ignacio Olaeta y Calafát, D. Antonio Martínez y Tacón , D. Rafael Casa so la y ViUa.iba. En 3.a fecha. D; Luis de Córdoba y Postigo, D. Juan de Azas, D. Josef Olózága y Travieso, D. Francisco Gazcon y Molina, D. Fernando Bilbao' y Xi</t>
  </si>
  <si>
    <t>Martínez, Andrés</t>
  </si>
  <si>
    <t>Andrés Martínez</t>
  </si>
  <si>
    <t>ez Toledano; y para el Préstamo de Bárcena de Bureba, en el de Burgos, vacante por fallecimiento de D. Andrés Martínez, á D. Rayinundo Gómez de Robles. El dia 8 del corriente tuvo la honra de besar la mano á SS. MM. y A A. D. Isidoro de Antillon, Catedrático de Astronomía, Geografía é Historia del</t>
  </si>
  <si>
    <t>Martínez, Ángel</t>
  </si>
  <si>
    <t>Ángel Martínez</t>
  </si>
  <si>
    <t>biendo considerado igualmente acreedor á otro premio por su extraordinaria aplicación y habilidad á D. Angel Martínez, acordáron los mismos jueces se le asignase otro que, aunque no fuese del número de ios señalados, le sirviese de estímulo para lo sucesivo: todo sé verificó, y se concluyó el act</t>
  </si>
  <si>
    <t>Martínez, Antonio</t>
  </si>
  <si>
    <t>Antonio Martínez</t>
  </si>
  <si>
    <t>en respuesta al tratado que escribió D. Josef de Uria Nafarrondó sobre el contrato trino : su autor D. Antonio Martínez. Se hallará en la librería de Barco, calle de las Carretas. Un quaderno con 20 minuetes escogidos de los mas célebres para guitarra y baxo: colección 3.a y antecedentes de minuete</t>
  </si>
  <si>
    <t>Martínez, Carlos María</t>
  </si>
  <si>
    <t>Carlos María Martínez</t>
  </si>
  <si>
    <t>América, Voluntarios de Estado y Voluntarios de la Corona á los Presbíteros D. Juan Antonio Prieto, D. Cárlos María Martínez, D. Juan Ortiz de León, Don</t>
  </si>
  <si>
    <t>Martínez, Claudio</t>
  </si>
  <si>
    <t>Claudio Martínez</t>
  </si>
  <si>
    <t>Sevilla, Lorca, Truxillo, Segovia y Guadix á los Tenientes D. Jacobo Blanco, D. Pedro María Ayora, D. Claudio Martínez, D. Cristóbal del Solar de Celis, D. Luis Pecoso, D. Fernando Mateos, y al Capitán reformado D. Vicente Gómez del Mercado: á Tenientes en los de Sevilla y Xerez á los Subtenientes</t>
  </si>
  <si>
    <t>Martínez, Francisco</t>
  </si>
  <si>
    <t>Francisco Martínez</t>
  </si>
  <si>
    <t>D. Tomas Estch^ y J&gt; Pedro Devcrges, y los de fusileros D. Francisco Garic, graduado , de Teniente, D. Francisco Martínez y D. Josef Alpanseque ; á Subsidíenles de granaderos á los de fusileros D. Josef Declonet, D. Luis Fe^ne j, graduado de Teniente , y D. Diego Salazar ; á Subtenientes de (j^in pañía l</t>
  </si>
  <si>
    <t>ntes de fusileros D. Joaquín de Cárdenas y D. Rafael Gavilán; y á Subtenientes de bandera al Cadete D. Francisco Martínez y al Sargento segundo D. Josef Carrera. Los tenedores de Vales-dinero de la Tesoreria.de Consolidación, de la creación de i.° de Enero, los presentarán en la misma Tesorería para su</t>
  </si>
  <si>
    <t>Martínez, Juan</t>
  </si>
  <si>
    <t>Juan Martínez</t>
  </si>
  <si>
    <t>l dia 3 se presentó el tít. v del lib. 111 del código civil. ESPAÑA. Castro-Ur diales 9 de Febrero. D. Juan Martínez y D. Pedro de Treviila;, Médico y Cirujano titu</t>
  </si>
  <si>
    <t>Martinez, Juan</t>
  </si>
  <si>
    <t>Juan Martinez</t>
  </si>
  <si>
    <t>141-25 Juan Martinez...................... Lerienta........................... 141..25 Melchor de la Fuente......... Torrijos......................... . 141-25 Hermenegildo Ribera........ Colme</t>
  </si>
  <si>
    <t>sjw (Castañeda, D. Francisco Barceló, D. Juan Varona, D. Josef IVÍo ota lleda , D. Joaquín Camacho, Don Juan Martínez, D. Ramón Amaya , E3. JflosefSuarez , D. Pedro del Barco, D. Pedro Nuñez, D. Manuel Kcdriggn§^&lt;» D. Juan Josef Murrieta, Don Francisco Spínola, D. Juan Ulloa., D. M-sariin Oarrich</t>
  </si>
  <si>
    <t>Martínez, Manuel Vicente</t>
  </si>
  <si>
    <t>Manuel Vicente Martínez</t>
  </si>
  <si>
    <t>la inmediata dirección del ilustrísimo Cabildo, quien ha confiado la éxeeucion á sus dos individuos D. Manuel Vicente Martínez, Canónigo Magistral, y D. Josef Dios, Arcediano de Chinchilla. El primer en sayo curativo se efectuó con 10 enfermos de ambos sexos , todos sumamente agravados de infección univer</t>
  </si>
  <si>
    <t>Martinez, Matias</t>
  </si>
  <si>
    <t>Matias Martinez</t>
  </si>
  <si>
    <t>141-25 Matias Martinez.................. Calahorra....................... 141- 2S Santiago Perez...................... 141-25 Antonio García.................</t>
  </si>
  <si>
    <t>Martinez, Pedro</t>
  </si>
  <si>
    <t>Pedro Martinez</t>
  </si>
  <si>
    <t>Fermín Monge y D. Vicente Nieto y Nieva: á Subteniente de granaderos del de Granada al de fusileros D. Pedro Martinez; y á Subtenientes de bandera de los de Badajoz, Valladolid, Sigüenza, Lorca y Ronda á D. Luis Sánchez Diosdado , D. Vicente Moneada, D. Alfonso Gallego y Perez, D. Josef Morales y</t>
  </si>
  <si>
    <t>Martínez, Tomás</t>
  </si>
  <si>
    <t>Tomás Martínez</t>
  </si>
  <si>
    <t>eficio simple de Media-Ración del lugar de Zamarra, en. la de Ciudad-Rodrigo , por fallecimiento de D. Tomas Martínez , á D. Valero de Aso, Cura de la parroquia de Rodajos en la Real Casa de Campo; y para él'Beneficio simple servidero de. la parroquial de S&gt; Miguel de la ciudad de Murcia; por fal</t>
  </si>
  <si>
    <t>Mártir Coll y Alsina, Pedro</t>
  </si>
  <si>
    <t>Pedro Mártir Coll y Alsina</t>
  </si>
  <si>
    <t>nces, contrata de compañía, cartas &amp;c., que para gobierno de un hijo suyo joven comerciante compuso D. Pedro Mártir Coll y Alsina*. un tomo en 4.0 Se hallará en la librería de la viuda de Fernandez, frente á las gradas de San Felipe; en Zaragoza en la de Monge, en Valencia en la de Jorge, y en Barcelona en l</t>
  </si>
  <si>
    <t>Martorell, Vicente</t>
  </si>
  <si>
    <t>Vicente Martorell</t>
  </si>
  <si>
    <t>nado conferir el empleo de Coronel del regimiento de infantería de Guadalaxara al del Fixo de Ceuta D. Vicente Martorell: Compañías en los de Murcia y Ordenes Militares al Teniente de granaderos D. Josef Fernandez, y al Ayudante D. Pedro Pascual Carrasco, ambos graduados de Capitán: Tenencias en los</t>
  </si>
  <si>
    <t>Martynow</t>
  </si>
  <si>
    <t>darán á luz nuevos periódicos, y, entre otros» el que se intitulará Anuncios del Norte, escrito por Mr. Martynow, literato muy conocido por su. traducción de Longinó. En este papel se tratará de la historia de las luces y de la civilización en Rusia, y se darán ademas noticias de la vida de</t>
  </si>
  <si>
    <t>Mas, Juan Bautista</t>
  </si>
  <si>
    <t>Juan Bautista Mas</t>
  </si>
  <si>
    <t>s escuelas de las casas de huérfanos de S. Vicente, Ntra. Sra. de la Misericordia, y fundaciones de D. Juan Bautista Mas, y de Don Francisco Xavier Navarro, y Doña María Caudevíla , baxo las mismas condiciones y examen.__ Para estimular á la buena educación en otras poblaciones de este Rcyno, se dar</t>
  </si>
  <si>
    <t>Mascaró, Ígnacio</t>
  </si>
  <si>
    <t>Ígnacio Mascaró</t>
  </si>
  <si>
    <t>del eixército se ha servido el Rey romover á Tenientes Coroneles á los Sargentos mayores de brigada Don Ígnacio Mascaró, D. Vicente Talledo, D. Ildefonso Aragón, y D. V¡</t>
  </si>
  <si>
    <t>Masdeu, Juan Francisco</t>
  </si>
  <si>
    <t>Juan Francisco Masdeu</t>
  </si>
  <si>
    <t>as Carretas; en Sevilla en la de Caro, y en Toledo en la de Soria. Arte poética fácil: por el Abate D. Juan Francisco Masdeu, socio de varias Academias de Europa, y Académico de la Real Academia de la Historia de Madrid. Se hallará en la librería de Francés; en Barcelona en la de Sierra, en Zaragoza en</t>
  </si>
  <si>
    <t>Massias</t>
  </si>
  <si>
    <t>es sobre este puntó. Carhruhe 5 de Marzo. Acaba de saberse, que*á solicitud del ciud. Massias, Encargado de negocios de la República francesa en el círculo de Suabia , se ha preso á una persona complicada, según se dice, en la última conjuración contra</t>
  </si>
  <si>
    <t>Mateo Martín</t>
  </si>
  <si>
    <t>ersona en cuyo poder esté, lo entregará en León a dicho Salas, en Viq-s d Albareda, en Vailadoiid á D. Mateo Martin, del comercio, y en Madrid á L&gt;. Juan Gonzalo López, del comercio, puerta de Guadalaxara. Por el juzgado del Sr. D. Diego Gil Fernandez, del Consejo de S. M., Alcalde de su Real C</t>
  </si>
  <si>
    <t>Mateos, Fernando</t>
  </si>
  <si>
    <t>Fernando Mateos</t>
  </si>
  <si>
    <t>Blanco, D. Pedro María Ayora, D. Claudio Martínez, D. Cristóbal del Solar de Celis, D. Luis Pecoso, D. Fernando Mateos, y al Capitán reformado D. Vicente Gómez del Mercado: á Tenientes en los de Sevilla y Xerez á los Subtenientes D. Josef María Martínez y D. Mariano Rodríguez: á Subtenientes de gr</t>
  </si>
  <si>
    <t>Matias Felipe</t>
  </si>
  <si>
    <t>141—25 Matias Felipe........................ Alquezar......................... 141..25 Sebastian Crespo................. Casan González........... 141-25 Josef Querencia...................</t>
  </si>
  <si>
    <t>Matías Ventura</t>
  </si>
  <si>
    <t>co Xavier Parayuelo; y el empleo de segundo Ayudante en el de Voluntarios de Campomayor al Teniente D. Matías Ventura. El Rey ha conferido la Capitanía de granaderos en el Regimiento de infantería Suizo de Traxler á D. Francisco Antonio Stulz, Capitán segundo del mismo; y la Tenencia del de Court</t>
  </si>
  <si>
    <t>Mauduit, Carlos</t>
  </si>
  <si>
    <t>Carlos Mauduit</t>
  </si>
  <si>
    <t>es de Fragata ¿h Alféreces de Navio D. Rafael de Luna, que era graduado;, I). Santiago Echapparret, Don Cárlos Mauduit, D. Manuel Zulaetai) IK Antonio Berraondo, D. Juan del Busto, D. Josef Quiroga, D. Dieggo* Venegas, D. Ventura Gutiérrez de Bustillo, D. Josef Roso, D. Joaquínu Aróstegui, D. Joaq</t>
  </si>
  <si>
    <t>Mauri, Cardenal</t>
  </si>
  <si>
    <t>Cardenal Mauri</t>
  </si>
  <si>
    <t>alelo al de la tierra: el polo ártico queda oculto debaxo del azogue luego que se pasa la línea. £1 Cardenal Mauri ha escrito al Cardenal Arzobispo de París una carta, en la qual le manifiesta ser enteramente adicto á la dinastía actual, y á los principios de gobierno adoptados últimamente en</t>
  </si>
  <si>
    <t>lexiones sobre un pasage del don de la palabra i y un extracto de los principios de eloqiiencia del Cardenal Mauri, con un anuncio de un nuevo diccionario de ciencias naturales. Se hallará suelto, y con los anteriores, en la librería de Alonso, frente á las gradas de S. Felipe, á 3 rs. Manual</t>
  </si>
  <si>
    <t>Mauricio Assiu</t>
  </si>
  <si>
    <t>fante , se ha servido el Rey promover, á Sargento mayor, Capitán y A.lfe-• rez á D. Francisco Rico, D. Mauricio Assiu y D. Gerónimo de Henestrosa, Capitán, Ayudante graduado de Capitán, .y Portaestandarte, de sus respectivos cuerpos.; y á Ayudante en el de cazadores de Aimansa: á D. Josef Carmen Quin</t>
  </si>
  <si>
    <t>Mauricio de la Rosa y Puga, Juan</t>
  </si>
  <si>
    <t>Juan Mauricio de la Rosa y Puga</t>
  </si>
  <si>
    <t>fallecimiento de D. Francisco Antonio Fernandez, vecino que fué d¿ esta corte, se manda convocar á D. Juan Mauricio de la Rosa y Puga, ó sus representantes, para que con los documentos suficientes á su juzgado, y por la escribanía de número de D. Jacobo Manuel Alanrique, á percibir cierta cantidad de maravedises</t>
  </si>
  <si>
    <t>Maximiliano Vandersteen</t>
  </si>
  <si>
    <t>Joaquín de la Cerda, y de Supernumerario al Brigadier D. Pedro Fen-er : de Brigadier al Subngadier D. Maximiliano Vandersteen : de Subrigadier. al Portaestandarte D. Agustín Duboys; v ha nombrado Cadetes supernumerarios a los Guaruia^D. isidro oe íbarra y D. Mateo P^ondel/ . . t n j i S M se ha:servido c</t>
  </si>
  <si>
    <t>Maximiliano, Príncipe</t>
  </si>
  <si>
    <t>Príncipe Maximiliano</t>
  </si>
  <si>
    <t>ica heredera de sus bienes, que son muy quantiosos , á la Princesa María de Saxonia, hija mayor del Príncipe Maximiliano. El 4 del corriente salió de Hannóver el Mariscal del Imperio Bernadotte para reconocer las obras deNieuburgo. Cada dia se hace sentir mas y mas la escasez de dinero en esta ciuda</t>
  </si>
  <si>
    <t>Mayol, Martín</t>
  </si>
  <si>
    <t>Martín Mayol</t>
  </si>
  <si>
    <t>o..............D. Manuel Rubiano. En Palenda........ D. Nicolás Calonge é hijo. En Palma........... D. Martin Mayol. En Pamplona........Sres. viuda de Barbería é hijo. En Salamanca...... Sres. LTrrero y Casaseca. En Santander....... Sres. Vial é nijo y compañía. En Segovia.............Sres. viu</t>
  </si>
  <si>
    <t>o............ D. Manuel Rubiano. En Palenda.........D. Nicolás Calonge é hijo. En Palma............ D. Martin Mayol. En Pamplona....... Sres. viuda de Barbería é hijo. En Salamanca......Sres. Urrero y Casaseca. En Santander.......Sres. Vial e hijo y compañía. En Segovia........... Sres. viuda d</t>
  </si>
  <si>
    <t>do.......... .. D. Manuel Ru,biano. _ En Patencia........ í&gt;. Nicqlas Calonge. En Palma.............D. Martin Mayol. En Pamplona....... Sres. viuda de Barbería é hijo. En Salamanca..... Sres, Terrero v Casajseca. En Santander...... Sres. Vial &gt;é hijo y compañía. En Segovia........ .. Sres. viud</t>
  </si>
  <si>
    <t>Mayor, Felipe</t>
  </si>
  <si>
    <t>Felipe Mayor</t>
  </si>
  <si>
    <t>rnardo Carasusan: para una Capellanía de número de la de Santo Domingo de la Calzada, por muerte de D. Felipe Mayor, á D. Román García: para una Ración de la Colegial, de Cascante, en el Reyno de Navarra, y Obispado de Tarazona, por fallecimiento de D. Fermín Guirior, á Don Ramón Tutor, Cura Pá</t>
  </si>
  <si>
    <t>Mazarredo, Santiago</t>
  </si>
  <si>
    <t>Santiago Mazarredo</t>
  </si>
  <si>
    <t>isneros, D. Justo Salafranca, D. Baltasar Cornelias, D. Josef Rodríguez Truxillo, D. Josef Pereyra, D. Santiago Mazarredo, D. Josef Mazarredo, D. Juan de’Vera, D. Pedro de Salazar, D. Felipe Esteller,, D. Josef del Viso, D. Jacinto Marcaida, D. Juan Bautista Lanz y Don; Francisco Ponce de León. Diges</t>
  </si>
  <si>
    <t>Me, Ignacio</t>
  </si>
  <si>
    <t>Ignacio Me</t>
  </si>
  <si>
    <t>Partearroyo, D.'Migúel Lizarza y Tamba, D. Mariano Bermudez de Gañas] P. Josef Salcedo y Zuloaga', D. Ignacio Me^dina y Iluet, D. Josef de Aldána y Perez Roxo , D.Joseph Navarro y Montemayor, D. Manuel: Meñendez Vaides, D. Francisco Quiroga y Osores, D. Manuel Esqúivel y Castañeda , D. Diego</t>
  </si>
  <si>
    <t>Meana, Miguel Bernardo</t>
  </si>
  <si>
    <t>Miguel Bernardo Meana</t>
  </si>
  <si>
    <t>a de Perandones, en ei Concejo de Cangas de Tineo, diócesis de Oviedo, vacante por fallecimiento de D. Miguel Bernardo Meana, á D. Manuel de Torres y Barchino: para ei Beneficio de las parroquias unidas de Santa María, S. Juan y S. Martin de la villa de Arjona, diócesis de Jaén , vacante por muerte de D</t>
  </si>
  <si>
    <t>María de Restiello, arciprestazgo de Salcedo, ambos en la diócesis de Oviedo, por fallecimiento de D. Miguel Bernardo Meana, á D. Agustin Fernandez del Bosque. El Rey se ha servido conferir la Comandancia del tercer batallón del regimiento de infantería de Zaragoza al Teniente Coronel D. Juan Creagli d</t>
  </si>
  <si>
    <t>Mechain</t>
  </si>
  <si>
    <t>San) urjo. En la madrugada del 20 de este mes falleció en Castellón de la Plana, reyno de Valencia, Mr. Mechain. Habia venido á España con el encargo de continuarlas operaciones suspendidas] en el año de 1793 para prolongar desde Barcelona hasta las islas Baleares la medida del arco del mer</t>
  </si>
  <si>
    <t>bre la capacidad de los sordos mudos de nacimiento, y del paseo pintoresco por Madrid; la muerte de Mr. Mechain, y otros anuncios. Se hallará suelto, y con los anteriores, á 3 rs. en la librería de Alonso, frente á las gradas de S. Felipe. O rigen, progresos y estado actual ;'de toda la lit</t>
  </si>
  <si>
    <t>Mecklemburgo, Duque</t>
  </si>
  <si>
    <t>Duque Mecklemburgo</t>
  </si>
  <si>
    <t>661 JEJamburgo 2g de Junio. Estos dias pasados se ha efectuado en esta ciudad el tercer pago del Duque Mecklemburgo para la adquisición de Wismar. El Príncipe hereditario de Dinamarca ha salido de Copenhague el 19 del corriente para tomar las aguas de NenndoríF.__ Dícese que el Emperador de Rus</t>
  </si>
  <si>
    <t>Meco Gordo, Santiago</t>
  </si>
  <si>
    <t>Santiago Meco Gordo</t>
  </si>
  <si>
    <t>al arroyo de la Casa, de 6 fin., lind’e á oriente J-osef López Adán, á poniente Santiago Meco Gordo , vecino de Arcete á mediodía el cafirino del molino , y a la sierra la raya dé dicho argete, i 800 rs. Otra en fel «corrillo de tes 'Oriéntelos, linde á oriente herederos de Miguel Prieto</t>
  </si>
  <si>
    <t>Medinedo, Antonio</t>
  </si>
  <si>
    <t>Antonio Medinedo</t>
  </si>
  <si>
    <t>141..25 Antonio Medinedo............. Móstoles.......................... 141. .25 Andrés Sánchez................... Covisa......................... 141—25 Matias Felipe.............</t>
  </si>
  <si>
    <t>Medranoi, Francisco</t>
  </si>
  <si>
    <t>Francisco Medranoi</t>
  </si>
  <si>
    <t>Bado y D. ctntonio ffamon de la Guerra : á-Teniente de granaderos del de Cmaad-Real ai de fusileros D. Francisco Medranoi a Teniente- de tusileros dri mismo cuerpo al Subteniente de granaderos D. Ramón Maestre; y a Subtfmen</t>
  </si>
  <si>
    <t>Meister</t>
  </si>
  <si>
    <t>5*° . . francés, los enemigos de la Francia lo son también de la Suiza." Ya ha llegado á Paris Mr. Meister, encargado de presentar al gobierno francés una relación circunstanciada de jas turbulencias que han agitado ai cantón de Zurich. Con motivo de haber de tratarse en la próxima Die</t>
  </si>
  <si>
    <t>Mela, Santiago</t>
  </si>
  <si>
    <t>Santiago Mela</t>
  </si>
  <si>
    <t>D. Josef Hervas, D. Josef del Campo,. Don Manuel Ibañez, D-. Francisco Apliegas , D. Tomas Pereda, D. Santiago Mela, D. Manuel Pozo Cáceles y D. Gerónimo Mauricio Buey. El primer premio consistía en la obra de Adam Smith sobre la investigación de la naturaleza,y causas de la riqueza de las naci</t>
  </si>
  <si>
    <t>Melero, Felipe</t>
  </si>
  <si>
    <t>Felipe Melero</t>
  </si>
  <si>
    <t>ía de Valencia Tenencia al Subteniente D. Joaquín María Fuster ; y Subtenencias al Sargento primero D. Felipe Melero y al Cadete D. Jacobo Chico de Guzman: en el de Extremadura Compañía al Teniente de granaderos , graduado de Capitán, D. Miguel Rosales; y Subtenencia de bandera al Cadete D. Alexan</t>
  </si>
  <si>
    <t>Melgar, Pedro</t>
  </si>
  <si>
    <t>Pedro Melgar</t>
  </si>
  <si>
    <t>y D. Francisco Verdejo : a Capitanes de fulleros de los de Bujalance y Ciuuad-Rcal a los Tenientes Don Pedro Melgar, D. Dionisio Antelo y D. Luis Morales: a Tenientes de granaderos de los de Avila y Torca á los de fusileros D. Vicente Zarza V D Claudio Martínez: á Tenientes de fusileros de los</t>
  </si>
  <si>
    <t>Melgarejo de los Cameros, Fernando</t>
  </si>
  <si>
    <t>Fernando Melgarejo de los Cameros</t>
  </si>
  <si>
    <t>Hinojosa, al Sr. Don Tiburcio del Barrio: para la Regencia; del Consejo de Navarra que esie dexa á D. Fernando Melgarejo de los Cameros , Oidor del mismo Consejo: para esta plaza al Alcalde de aquella Corte D., Marcos López Gonzalo; y para esta resultad D., Ramón Antonio- Tirado. . Asimismo ha nombrado S. M. para</t>
  </si>
  <si>
    <t>Melgarejo Delgado, Joaquín</t>
  </si>
  <si>
    <t>Joaquín Melgarejo Delgado</t>
  </si>
  <si>
    <t>ei de S. Pedro de la ciudad de Avila, vacante por fallecimiento de D. Manuel Vicente de Zubiaga, á D. Joaquín Melgarejo Delgado: para el Préstamo de la parroquial de Sta. María de Perandones, en ei Concejo de Cangas de Tineo, diócesis de Oviedo, vacante por fallecimiento de D. Miguel Bernardo Meana, á D. M</t>
  </si>
  <si>
    <t>Melgarejo, Antonio</t>
  </si>
  <si>
    <t>Antonio Melgarejo</t>
  </si>
  <si>
    <t>rimeros á los segundos D. Juan Moscoso y D. Manuel Velasco, y á Capitanes 'segundos á ios Tenientes D. Antonio Melgarejo y D. Manuel Gib deda Torre. S, M. se ha ^ervidaboüo^der título* de Barón, con la deñothinacion de Salílias, á-D. Maríano; dé Pedro , vecino de la ciudad de. Alcañiz;, sus herederos y.</t>
  </si>
  <si>
    <t>Melgarejo, Francisco</t>
  </si>
  <si>
    <t>Francisco Melgarejo</t>
  </si>
  <si>
    <t>Manuel Ayenza, ios tres últimos de granaderos; y Subtenencias de bandera en el de Córdoba al Cadete D. Francisco Melgarejo, y en el de Zaragoza al Sargento primero D. Ignacio Moreno, y á los Cadetes D. Manuel Marcano y D. Antonio Melero. El Bey se ha servido promover d Teniente en el Regimiento de inf</t>
  </si>
  <si>
    <t>Melville, Lord</t>
  </si>
  <si>
    <t>Lord Melville</t>
  </si>
  <si>
    <t>. El Rey ha nombrado Secretario de la Guerra á Mr. William Dundas. Ayer aespacháron por primera vez Lord Melville, el Almirante Gam* feieryr Mr. Dükenson, nuevos Lores del Almirantazgo. y ITALIA. Ñapóles 10 de Mayo. ■S. M. se ha dignado conceder su retiro del Ministerio de los Negocios extran</t>
  </si>
  <si>
    <t>e Setiembre. El Lord Keith ha vuelto á las Dunas después de haber examinado la costa de Francia. El Lord Melville, que le acompañaba, no ha ido muy léjos, pues desembarcó en Walmer. El enemigo tiene gran numero de lanchas cañoneras en el puerto exterior; y los marineros se exercitan en todas</t>
  </si>
  <si>
    <t>Melzi</t>
  </si>
  <si>
    <t>ue no se interrumpan los negocios durante su ausencia. El Vice-Presidente de la República Italiana, Mr. Melzi, ha escrito al Santo Padre que saldrá á recibirle hasta Plasencia , desde donde le acompañará hasta las fronteras .de Francia. . A propuesta del Archiduque Carlos ha nombrado S. M</t>
  </si>
  <si>
    <t>Mena y Ferran, Francisco</t>
  </si>
  <si>
    <t>Francisco Mena y Ferran</t>
  </si>
  <si>
    <t>Cadetes del Real colegio militar de Segovia D. Josef Dalp y Rosa, D. Josef Sánchez Boado y Reguera, D. Francisco Mena y Ferran, D. Luis *Lardizabal y Montoya, D. Josef Medrano y Treviño, D. Joaquin Escario y Carrasco, D. Joaquin Vivanco y Yun , D. Pedro Ortiz de Zarate y Ara , D. Juan Bravo de Rivero, D.</t>
  </si>
  <si>
    <t>Mena, Cayetano</t>
  </si>
  <si>
    <t>Cayetano Mena</t>
  </si>
  <si>
    <t>ios de Estado, Voluntarios de lz Corona y Borbon, Tenencias á los Subtenientes D. Alonso de Torres, D. Cayetano Mena y D. Martin Ruéíle, los dos últimas de granaderos. En atención á los méritos y servicios de D. Luis Fernandez Gonzalo del Rio, ha venido el Rey en concederle los honores de la Junta g</t>
  </si>
  <si>
    <t>Mena, Francisco</t>
  </si>
  <si>
    <t>Francisco Mena</t>
  </si>
  <si>
    <t>.. ........ 283Í.16 Francisco Mena................... De las Menas................... 141.-25 Francisco Orrego, id............. Vivero....... .................... 283..16 Simón Ramos........ ............. Val d</t>
  </si>
  <si>
    <t>Mena, Miguel</t>
  </si>
  <si>
    <t>Miguel Mena</t>
  </si>
  <si>
    <t>5.a DEL 2.° Miguel Mena........................ Nava moral de Pusa........ 141-25 Felipe del Castillo, Cabo- .. Son seca........................... 283-16 Francisco Burgos................. Te</t>
  </si>
  <si>
    <t>Mendieta, Pedro</t>
  </si>
  <si>
    <t>Pedro Mendieta</t>
  </si>
  <si>
    <t>itán diel mismo cuerpo ; y Tenencia en el segundo batallón de Voluntarios de A ragon al Subteniente D. Pedro Mendieta. S. M. se ha dignado promover á Sargentos mayores de los regimientas de infantería de la Reyna, Cantabria y Ordenes Militares á los Capitanes de los de Murcia, Príncipe y Asturias</t>
  </si>
  <si>
    <t>Mendizábal, Francisco</t>
  </si>
  <si>
    <t>Francisco Mendizábal</t>
  </si>
  <si>
    <t>oronel, y D. Tomas Rifa, Sargentos mayores de Brigada: para este em-. pleo á los Capitanes primeros D. Francisco Mendizaval y D. Pablo Ordobas: para Capitán primero á D. Manuel Tomé, Capitán segundo; y para este al Teniente D. Manuel Caballero. Igualmente ha nombrado S. M. para un empleo de Alférez en el r</t>
  </si>
  <si>
    <t>Mendoza, Manuel</t>
  </si>
  <si>
    <t>Manuel Mendoza</t>
  </si>
  <si>
    <t>el de Cantabria á D. Josef Armiñan: en el de Asturias á 'D. Francisco de Zayas: en el de Navarra á D. Manuel Mendoza y D. MigueFRuano: en el de Aragón á D. Pedro Gacet, y al de igual clase del de España D. Luis Coquelin: en el de América á Don Francisco Vizcaíno: en el de la Princesa á D. Ramón Corr</t>
  </si>
  <si>
    <t>Menea, General</t>
  </si>
  <si>
    <t>General Menea</t>
  </si>
  <si>
    <t>scafi___ También ha pasado por aquí ei Obispo de Ajaccio en Córcega , que va igualmente á París. Ei General Menea ha dirigido á los Prefectos y á los Mayres de las</t>
  </si>
  <si>
    <t>Menendez, Luis</t>
  </si>
  <si>
    <t>Luis Menendez</t>
  </si>
  <si>
    <t>primeros á los segundos D. Mariano Montoya y D. Luis Gastón; y á Capitanes segundos á los Tenientes D. Luis Menendez, D. Ignacio Cincúnegui, D. Pascual Antillon, D. Joaquín Hidalgo, D. Joa'quin Lirón, D. Francisco Bermudez y D. Josef de Córdoba. En los regimientos provinciales ha promovido S. M.</t>
  </si>
  <si>
    <t>el Rey nombrar por Ayudantes mayores á los Capitanes segundos D. Benito Aballe , D. Joaquín Lirón, D. Luis Menendez y D. Joaquín Hidalgo Barquero; y por Tenientes de Artilleros á caballo á los Tenientes de infantería D. Manuel Domínguez y D. Luis Sotomayor. ( En los regimientos de caballería de lín</t>
  </si>
  <si>
    <t>Mengs, Antonio Rafael</t>
  </si>
  <si>
    <t>Antonio Rafael Mengs</t>
  </si>
  <si>
    <t>ores y personagcs, que hacen figura en la historia del autor: á 650 rs. el juego en pasta. Obras de D. Antonio Rafael Mengs: e&amp;4° marquilla: á 32 rs. en pasta común , y 38 en fina. Tratado de la pintura, por Leonardo de Vinci y León Bautista Alberti: un tomo,en 4.0 marquiíia: á 42 rs. en pasta. Comenta</t>
  </si>
  <si>
    <t>Menocal, Esteban</t>
  </si>
  <si>
    <t>Esteban Menocal</t>
  </si>
  <si>
    <t>yudante D. Manuel Castellanos: á Ayudantes á los Tenientes D. Joaquin Horruitiner, de granaderos, y D. Esteban Menocal: á Teniente de granaderos ai de fusileros D. Gil Josef Pacot: á Tenientes ¿ los Subtenientes D. Manuel Vázquez , Don Francisco Acosta y D. Ramón Castellanos, los dos últimos de gr</t>
  </si>
  <si>
    <t>Menor López, Francisco</t>
  </si>
  <si>
    <t>Francisco Menor López</t>
  </si>
  <si>
    <t>món de Mareos y D. Vicente GH; y en los de la Reyna, Valencia y Murcia á los Cadetes D. Ramón Cota, D. Francisco Menor López, D. Ramón Llola&amp;bregat y D- Joaquín de Eguia, este último del de Voluntarios de Estado. En el segundo batallón de Voluntarios de Aragón se ha servido S.M. promover á Subteniente d</t>
  </si>
  <si>
    <t>Menou, General</t>
  </si>
  <si>
    <t>General Menou</t>
  </si>
  <si>
    <t>irlo. El Prefecto del palacio imperial en París, Mr. de Salmatoris, ha escrito sobre este asunto al General Menou, Administrador general actualmente en Turin , lo siguiente: ,,S. M. I. se ha dignado elegir, por decreto de 13 de Octubre de 1803, el palacio de Stupinis para su casa de recreo, q</t>
  </si>
  <si>
    <t>36. Acompañarán al Santo Padre 5 Cardenales, 4 Príncipes Romanos, 4 Prelados de primer orden &amp;c. El General Menou ha dado sus disposiciones pata recibir dignamente al Gefe de la Iglesia: se han apostado tiros en todas partes, y dispuesto sillas de manos para pasar el monte Cenis. Probablement</t>
  </si>
  <si>
    <t>Mentón, Antonio</t>
  </si>
  <si>
    <t>Antonio Mentón</t>
  </si>
  <si>
    <t>de D. PolicarpQ Fernandez á otra entera de la propia, á D. Antonio Mentón, Cura párroco de Valdesimonte en aquella dic5cesis; y para los Beneficios de Sta. María del Prado de Ciudad-Real, diócesis de Toledo, y de Sta.María del lugar de Gallegos,en la de</t>
  </si>
  <si>
    <t>Mercado, Francisco</t>
  </si>
  <si>
    <t>Francisco Mercado</t>
  </si>
  <si>
    <t>y D. Miguel de Córdoba: á Subtenientes de granaderos de los de Badajoz y Lorca, á los de fusileros D. Francisco Mercado y D. Josef Genant; y á Subteniente de bandera del de León á D. Juan de Santiago ViHaroel. En el Real cuerpo de Ingenieros del exérclto ha promovido S. M. á Sargentos mayores de brigad</t>
  </si>
  <si>
    <t>Burgueño : á Tenientes de fusileros de los de Badajoz, Toro , Laredo y Betanzos á los Subtenientes D. Francisco Mercado, D. Pablo Galarza, D. Miguel Moneaban y D. Antonio Riomayor: á Subtenientes de granaderos de los de Ciudad-Rodrigo, Laredo, Avila y Chinchilla á los de fusileros D. Gaspar Escapa</t>
  </si>
  <si>
    <t>Merchan, Francisco</t>
  </si>
  <si>
    <t>Francisco Merchan</t>
  </si>
  <si>
    <t>332 . • . , bsre del año pasado, á D. Francisco Merchan, Cura de Sta. María ía Nue•v a de la mitma ciudad : para una Presramcra de la Miración de Herreros, en la de Córdoba, por muerte de D- Lorenzo Carmena, á D. Miguel López y S. Pedr</t>
  </si>
  <si>
    <t>Merino Ortiz, Tomás</t>
  </si>
  <si>
    <t>Tomás Merino Ortiz</t>
  </si>
  <si>
    <t>JuanCasou y compañía. En Avila............... D. Fernando Echepare y sobrinos. En Badajoz...........D. Tomas Merino Ortiz. En Barcelona....... D. Ramón de Llordella é hijo. En Búrgos............D. Andrés Fray le. En Cdaiz............... D. Benito de la Piedra. En Cartagena........D. Manuel de Ozores.</t>
  </si>
  <si>
    <t>Juan Casou y compañía. E?t Avila.............. D. Fernando Echepare y sobrinos* En Badajoz.^.'......D. Tomas Merino Ortiz. En Barcelona.......D. Ramón de Llofdella ¿ hijo. En Burgos........i... D. Andrés Frayle. En Cádiz.............. D. Benito de la Piedra. En Cartagena....... D. Manuel de Ozores. E</t>
  </si>
  <si>
    <t>Merlo, Rafael</t>
  </si>
  <si>
    <t>Rafael Merlo</t>
  </si>
  <si>
    <t>449 Alcalá , á poniente y sierra D. Rafael Merlo, á 750 rs. Otra ¡unto al portillo de Alalpardo, de 1 fan. , linde á oriente y mediodia con D. Manuel Ortiz, á poniente con D. Josef de Ribas,y á la sierra herederos de Andrés Rodr</t>
  </si>
  <si>
    <t>Merman</t>
  </si>
  <si>
    <t>LANDA. Haya 24 de Abril. La dirección departamental de Holanda ha autorizado al ciud. Merman, para que haga plantificar en todas las ciudades del departamento , su proyecto de establecer casas de trabajo para ios pobres. El trabajo diario, las manufact</t>
  </si>
  <si>
    <t>Merry</t>
  </si>
  <si>
    <t>11 de 'Noviembre de 1803, El nuevo Ministro británico cerca del Congreso de ios Estados-Uní- * dos, Mr. Merry, ha llegado á bordo de la fragata el Faetón. Este buque ancló ayer en nuestro puerto, en la rada de la quarentena. Dicho Ministro había ya desembarcado en Norfolk en Virginia. Sin</t>
  </si>
  <si>
    <t>Meruendano, Bernardo</t>
  </si>
  <si>
    <t>Bernardo Meruendano</t>
  </si>
  <si>
    <t>Pedro Negréte, D. Manuel Abreü , D. Ignacio del Valle, D. Josef de Santiago, D'. Joaquin Fernandez, D. Bernardo Meruendano, D. Josef del Hoyo,D. Francisco de Murías, D. Mariano Leones, D. Josef Nuñez, D. Francisco Enrile, D. Juan Gaideano, D. Josef Burgués de Mesiessi, D. Manuel Lizarza, D. Josef Azna</t>
  </si>
  <si>
    <t>Merzuk Bey</t>
  </si>
  <si>
    <t>os Mamelucos no perecieron sino 100, uno de los quales fué Abbas Bey, y el otro Merzuk Bey, hijo de Ibrahim; pero la muerte de este último no es cierta. El 12 hubo otro combate, y Mehemet Aly pudo entrar en el Cayro, donde pasó la noche el 13, y salió al día siguiente para po</t>
  </si>
  <si>
    <t>Meseguer, Francisco</t>
  </si>
  <si>
    <t>Francisco Meseguer</t>
  </si>
  <si>
    <t>ventajoso concepto que tenia de la pericia y tino de los profesores D. Juan de Alarcon, Cirujano, y D. Francisco Meseguer , Médico. Este compuso y dio á luz una Memoria sofriré la curación del mal venéreo , en la quaFexpóne con claridad' la se ir fe de hechos observados5; en ^enfermos, y deduce io cp</t>
  </si>
  <si>
    <t>Mesía, Simón</t>
  </si>
  <si>
    <t>Simón Mesía</t>
  </si>
  <si>
    <t>grsídmiado, D. Leandro de Ocio, que lo era igualmente, D. Josef CieafueggP'S 1 D. Josef María Blak, D. Simón Mesía, D. Josef Godoy, D. Manuel Scoroez, D.Manuel Arévalo , D. Josef Caballero, D. Gaspar Orue , D.njltyfknuel Josel de Landa, D. Pedro Olea, D. Manuel Enna , D. Alonso Illlaipa, D. Jo</t>
  </si>
  <si>
    <t>Mesino, Alberto</t>
  </si>
  <si>
    <t>Alberto Mesino</t>
  </si>
  <si>
    <t>. á la rústica en la librería de Castillo, frente á las gradas de S. Felipe. El autor de esta obra, D. Alberto Mesino, Cónsul de España en Venecía, ha.cedido el producto de su venta para beneficio de los presos de las cárceles de esta Corte. Preocupaciones de los filósofos de estos tiempos , ó Co</t>
  </si>
  <si>
    <t>Mesle, General</t>
  </si>
  <si>
    <t>General Mesle</t>
  </si>
  <si>
    <t>26 de Noviembre, El General Mortier se halla aquí de regreso de Gottínga, adonde fué acompañado del General Mesle, del Coronel Moriot y de otros varios oficiales. Allí fué cumplimentado por una diputación de la Academia, á cuyo frente se hallaba Mr. de Mertens , Consejero de la corte: en la s</t>
  </si>
  <si>
    <t>Mesonero Herrera, Matías</t>
  </si>
  <si>
    <t>Matías Mesonero Herrera</t>
  </si>
  <si>
    <t>nstancias al Alcalde de dicho hospital en la referida ciudad, y en esta cprte se les dará razón por D. Matías Mesonero Herrera, su apoderado, que vive calle del Olivo baxo, rmm. 10. Se halla vacante el partido de Cirujano de la villa de Torrelaguna, distante 9 leguas de Madrid, cuya utilidad anual es de 7</t>
  </si>
  <si>
    <t>Metropolitano y Primado de Germania, Arzobispo</t>
  </si>
  <si>
    <t>Arzobispo Metropolitano y Primado de Germania</t>
  </si>
  <si>
    <t>stablece, por principio, que las dignidades de Príncipe Elector ArchiCanciller del Imperio, y la de Arzobispo Metropolitano y Primado de Germania, estarán perpetuamente unidas, y su jurisdicción se extenderá á las antiguas provincias Eclesiásticas de Maguncia, Tréveris y Colonia,‘en la orilla derecha del Rhin y de aquella p</t>
  </si>
  <si>
    <t>Mexía, Luís</t>
  </si>
  <si>
    <t>Luís Mexía</t>
  </si>
  <si>
    <t>Tenencia en el regimiento de caballería de Almansa., tercero de-cazadores,, á D^Luís Mexía, Teniente agregado al. de Voluntarios de España, quarto de húsares: para un empleo de Alférez en el del Rey, primero de cazadores, al Cadete D. Joaquín Ferranpy para el de Portaestandarte e</t>
  </si>
  <si>
    <t>Miaño, Joaquín</t>
  </si>
  <si>
    <t>Joaquín Miaño</t>
  </si>
  <si>
    <t>D. Antonio Viüavicencio, D. Josef Delgado, D. Joaquín Miaño, Don Diego Ponce de León, D. Nicolás Rubín, D. Joaquin Sánchez, D. Rafael de Lobo, D. Francisco Leceta, D. Manuel Ocarol, Dv x\ntonio Magadan, D. Norberto de Mella, D. Juan de Bns</t>
  </si>
  <si>
    <t>Micaela Petronila de Otero</t>
  </si>
  <si>
    <t>s,. hijo legítimo de D. Cristóbal Suarez y Doña Leonor González, ya difuntos; que estaba casado con Doña Micaela Petronila de Otero, y no tuvo sucesión; y últimamente declaró por sus universales herederos á D. Cristóbal, D. Eugenio, D. Juan, Doña Rosa María y Doña Francisca Eustaquia Suarez, sus hermanos. Libr</t>
  </si>
  <si>
    <t>Micjavila y Fisonéll, Vicente</t>
  </si>
  <si>
    <t>Vicente Micjavila y Fisonéll</t>
  </si>
  <si>
    <t>rmedades locales, fundadas en la experiencia y en la doctrina browniana: traducida del italiano por D. Vicente Micjavila y Fisonéll &amp;c. Este es el último de los opúsculos brownianos, con el q«al queda concluido el tratado de las enfermedades locales. Se hallará dicho opúsculo, con los demas, en los parages.aco</t>
  </si>
  <si>
    <t>Migu</t>
  </si>
  <si>
    <t>Francisco Spínola, D. Juan Ulloa., D. M-sariin Oarrichena , D. Manuel Bacaro, D. Antonio Bovadilla, D. Migu«i(li Martínez, D. Luis Lasqueti,Don Juan Latre, D. Tomas Urrecha, D: R.jmon Moyua, D. Ramón Torre, D. Manuel Berna!, D. Antonio Mañeáis D.Joaquín Elgueta, D. Francisco Sarachaga,</t>
  </si>
  <si>
    <t>MiguH Josef Garcíi de la MadHdi</t>
  </si>
  <si>
    <t>n quísiéré hacer dicha puja, acuda ante el 'nominado ¿ivHerran) y fox U escribanía de provineiai de D. MiguH Josef Garcíi dé la MadHdi</t>
  </si>
  <si>
    <t>MiHer</t>
  </si>
  <si>
    <t>r Gomo puede uno hacerse su memoria. La Gazeta .de la Corte anuncia hoy el nombramiento del célebre Mr. MiHer para la plaza de historiógrafo de la casa de Brandenburgo, con el título de Consejero privado. Ha pasado por aquí un correo Francés que va i Petersburgo: dícese que lleva la orden</t>
  </si>
  <si>
    <t>Miíñoz, Francisco</t>
  </si>
  <si>
    <t>Francisco Miíñoz</t>
  </si>
  <si>
    <t>528 D. Antonio Fernandez de Párraga, D. Antonio Dávila y Melero, Don Francisco Miíñoz y' Partearroyo, D.'Migúel Lizarza y Tamba, D. Mariano Bermudez de Gañas] P. Josef Salcedo y Zuloaga', D. Ignacio Me^dina y Iluet, D. Josef de Aldána y Perez Roxo , D.Joseph Navarro</t>
  </si>
  <si>
    <t>Milla Cuellar, Ramón</t>
  </si>
  <si>
    <t>Ramón Milla Cuellar</t>
  </si>
  <si>
    <t>e el Sr. D. Manuel Vicente de Torres, Teniente Corre;gidor de esta villa, y escribanía numeraria de D. Ramón Milla Cuellar. A voluntad de su dueño se venden unas casas sitas en las calles del Limón y dé S. Joaquín, núms. 1, 2,8 y 9, manz. 536, que tienen 13,972 pies de sitio, y medio quartillo de agua</t>
  </si>
  <si>
    <t>Milner</t>
  </si>
  <si>
    <t>s , están averiguados por una multitud de testigos oculares, de cuya veracidad no puede dudarse. El Doctor Milner, excelente químico , y el Vice-Canciller de la Universidad de Cambridge, deben ir á casa de Mr. Adams á examinar quales pueden ser las causas de este fenómeno, que todos habían so</t>
  </si>
  <si>
    <t>Mingo, Nicolás</t>
  </si>
  <si>
    <t>Nicolás Mingo</t>
  </si>
  <si>
    <t>de 2 fan. y 6 cel., linde á oriente herederos de Policarpo Rubio da María, á mediodía capellanía de D. Nicolás Mingo, presbítero de Leganés, y á poniente el camino de abaxo de Fuente el Saz, á 700 rs. Otra en la cuesta redonda , de 2 fan. y 6 cel., linde á oriente Juan López de la Cámara , á med</t>
  </si>
  <si>
    <t>Minguez, Tomás</t>
  </si>
  <si>
    <t>Tomás Minguez</t>
  </si>
  <si>
    <t>Ración de la catedral de Cuenca , vacante por fallecimiento de D. Gerónimo Martínez Alcantarilla, á D. Tomas Minguez , Medio-Racionero de ella: para otra de la de Palencia, vacante por muerte de D. Genaro de Laya, á D. Francisco Xavier Gallego , Beneficiado de Preste de la villa de Ribas , en aq</t>
  </si>
  <si>
    <t>, en el obispado de Ciudad-Rodrigo; y para una Media-Ración de la de Cuenca, vacante por ascenso de D. Tomas Minguez á Ración de la propia iglesia ,á D. Francisco Xavier de la Fuente, Cura de Villar del Saz de Navalon, en aquella diócesis. S. M. se ha servido promover en el regimiento de Reales</t>
  </si>
  <si>
    <t>Ministro Áddington</t>
  </si>
  <si>
    <t>e esterlinas en billetes del Echicjnier. Con este motivo informó á la Cámara el Ministro Áddington , que fps billetes del Echiquier en circulación para 1802, se recogerían ántes déla salida de los nuevos. La propuesta pasó sin contradicción; y en se.guida el</t>
  </si>
  <si>
    <t>Ministro Alemanes</t>
  </si>
  <si>
    <t>Alemania: y que Mrs. Laforest y Mathieu han tenido algunas conferencias cón los Ministros Alemanes &amp;c. GRAN BRETAÑA. Londres 4 de Setiembre. El Gobierno ha dado orden para alejar los prisioneros de guerra Franceses délas costas. Una división de estos se ha d</t>
  </si>
  <si>
    <t>Ministro Austriaco</t>
  </si>
  <si>
    <t>e han convenido todavía en las condiciones de semejante cesión. Mr. de Schrant, Ministro Austriaco en Stuttgard, ha recibido sus credenciales para la Dieta del Círculo de Suabia. Se celebrará esta junta ep Esslingen , y se tratarán allí asuntos de la mayor imp</t>
  </si>
  <si>
    <t>Ministro Austriaco y los Enviados de Prusia</t>
  </si>
  <si>
    <t>. De algunas semanas á esta parte se han celebrado muchas conferencias entre el Ministro Austriaco y los Enviados de Prusia y de otros Príncipes del Imperio. Según dicen, se ha tratado en dichas conferencias de la conclusión de los asuntos de Alemania, y señaladamente de los objetos que</t>
  </si>
  <si>
    <t>Ministro Austríacos</t>
  </si>
  <si>
    <t>e se explica enérgicamente contra esta mudanza. Mt. de Bildt, al tiempo que los Ministros Austríacos anunciaban esta mudanza á la Dieta, pidió que se tomase en consideración este objeto , y que se deliberase acerca del contenido de la notificación. Ningún Mini</t>
  </si>
  <si>
    <t>Ministro Barón de Greifenegg</t>
  </si>
  <si>
    <t>e’eb tribunal de Casación en Francia. S: A.d&amp;. ?bá- conferido la'Prestdenbia al Ministro Barón de Greifenegg, nombrando por-adjuntos á los Consejeros Stirkler y Merteifs. Ratisbona 21 de Junio. ísTo se hace cosa alguna en la Dieta. El 18 del corriente era el dia señál</t>
  </si>
  <si>
    <t>Ministro Barón de Montgelas</t>
  </si>
  <si>
    <t>cia- bávara de Suabia. Pasa por una obra maestra, al fin como hecha por el gran Ministro Barón de Montgelas. Una de las cosas que en ella se celebran es el establecimiento de una autoridad intermedia entre las superiores y las interiores, encargada de velar sobre Ja</t>
  </si>
  <si>
    <t>Ministro Bávaro</t>
  </si>
  <si>
    <t>lenipotenciario de la orden de Malta. • Francfort 10 de Febrero. Se sabe que el Ministro Bávaro ha recibido por mano del Ministro Imperial cerca de la corte de Munich una nota de parte de la corte de Viena, en que el Emperador se muestra disgustado de esp</t>
  </si>
  <si>
    <t>Ministro Británico</t>
  </si>
  <si>
    <t>or Ingles cerca de la Puerta Otomana. Se detendrá para exercer las funciones de Ministro Británico ínterin llega el sucesor de Mr. Paget,quien dentro de 1 &gt; dias partirá para Londres. Hace mucho tiempo que estaba decidida la demolición de las moralias y fort</t>
  </si>
  <si>
    <t>Ministro Directo</t>
  </si>
  <si>
    <t>tillería. Eatisbona de Enero. La Dieta ha vuelto hoy á continuar sus juntas. EL Ministro Directo</t>
  </si>
  <si>
    <t>Ministro Directorial</t>
  </si>
  <si>
    <t>Stuttgard jo de Junio. Por las últimas carta* de Ratisbona hemos sabido que el Ministro Directorial ha informado á los demas Ministros de los estados del Imperio, reunidos en la Dieta, que el gobierno francés ha remitido á Mr. de Cobentzel, Ministro Imperial</t>
  </si>
  <si>
    <t>negocios de la Orden Eqiiestre. Francfort 13 de Noviembre. El Barón de Albini, Ministro Directorial cerca de la Dieta de Ratisbona, presento el 5 de este mes al Colegio de los Electores el proyecto de convenio, relativo al arbitrio de navegación del Rhin., en</t>
  </si>
  <si>
    <t>Ministro Electoral</t>
  </si>
  <si>
    <t>S. M. I. y R. y y su Enviado d la corte bavaro-palatina en Munich, dirigida, al Ministro Electoral, con motivo de las providencias bávaro-palatinas , tomadas con violación de la paz piíblica contra la orden Ecuestre inmediata&gt; con fecha de &lt;5" de Diciembre d</t>
  </si>
  <si>
    <t>Ministro Franceses</t>
  </si>
  <si>
    <t>lugares inmediatos , de donde vienen de dia á la ciudad. La mayor parte de los Ministros Franceses cerca de las portes de Alemania se hallan aquí, j__También han venido á cumplimentar al Emperador, entre otros Príncipes Alemanes, los Electores de Badén y el</t>
  </si>
  <si>
    <t>Ministro Hannovenano</t>
  </si>
  <si>
    <t>atas zarparán de aquí para el Mediterráneo, según se dice. El Conde de Munster, Ministro Hannovenano cerca de nuestra Corte, saldrá muy en breve para la de Londres. Si es cierto que nuestro gabinete ha insinuado desear que no se reemplace á dicho Enviado del R</t>
  </si>
  <si>
    <t>Ministro Hannoveriano Mr</t>
  </si>
  <si>
    <t>o de Luncburgo.__ Corren voces también de que pronto se ausentará de Londres el Ministro Hannoveriano Mr. de Leuthe, y que le reemplazará el Conde de Munster, Enviado asimismo de Hannóver en Petersburgo. Ha sido conducido á Inglaterra el navio Sueco que apresaron</t>
  </si>
  <si>
    <t>Ministro Imperial</t>
  </si>
  <si>
    <t>ser en Friburgo y no en Schaífusa en donde deben quedar arregladas por el nuevo Ministro Imperial, Barón de Crumpipen, las relaciones políticas entre la Suiza y la corte Imperial y Real, se asegura generalmente que el gobierno francés no quiere enviar á Sch</t>
  </si>
  <si>
    <t>rancfort 10 de Febrero. Se sabe que el Ministro Bávaro ha recibido por mano del Ministro Imperial cerca de la corte de Munich una nota de parte de la corte de Viena, en que el Emperador se muestra disgustado de esperar hace mas de un mes la contestación del</t>
  </si>
  <si>
    <t>, reunidos en la Dieta, que el gobierno francés ha remitido á Mr. de Cobentzel, Ministro Imperial en París,una nota concerniente á las explicaciones pedidas á la Francia, acerca de las comunicaciones de la derecha del Rhin. Se espera con impaciencia la declar</t>
  </si>
  <si>
    <t>arón deHugel, quien partirá dentro de pocos dias para Nuremberg , en calidad de Ministro Imperial, cerca del Círculo de Franconia. Se cree que la conferencia ha tenido por objeto la ciudad de Nuremberg , y algunos cambios de.territorios en la parte oriental</t>
  </si>
  <si>
    <t>Ministro Imperiales</t>
  </si>
  <si>
    <t>Mr. Albini, Ministro directorial, en que dice que la notificación hecha por los Ministros Imperiales, no era de naturaleza que diese motivo á una deliberación comicial (á pesar de la nota Sueca );-y que por lo que toca á la nota Rusa no había nuevas instruccio</t>
  </si>
  <si>
    <t>Ministro Ingles</t>
  </si>
  <si>
    <t>rante la estancia en Dresde de S. M. Sueca, ha dado una audiencia particular al Ministro Ingles cerca de aquella corte. El Emperador de Rusia ha dado al Teniente General y Gobernador de Odessa, Duque de Richelieu, orden de disminuir de una quarta parte lo</t>
  </si>
  <si>
    <t>onde de Rasoumousky, Embaxador Ruso en Viena, pasará el invierno en Ñapóles. El Ministro Ingles en Viena ha tenido varias conferencias conMr. de Cobentzel ; pero como la Inglaterra no quiere reconocer el nuevo título de la casa de Austria, cesarán por ahora</t>
  </si>
  <si>
    <t>la corre1 .poncencia de los dos hermanos Daniel y Carlos Th mn con Mr. Taylor , Ministro Ingles cerca del Elector de Tíess-e , dirigida á hacer sublevar ios c$ departamentos reunidos y la República Bátava. Cárlos Thiun ha sido arrestado, y ha convenido en</t>
  </si>
  <si>
    <t>irregular $ y como no tuvo feliz éxito, causó doble vergüenza á sus autores. El Ministro Ingles intentó apologizar este hecho, pretendiendo que no fué mas que un encuentro casual, producido por la obstinación de los Holandeses, que se negaban á hacer los</t>
  </si>
  <si>
    <t>Ministro Ingles Mr</t>
  </si>
  <si>
    <t>asa á Gothemburgo, donde se embarcará para Inglaterra. También se halla aquí el Ministro Ingles Mr. de Pierrepoint; y muchos dias come á La mesa de SS. MM. Suecas. No cesan de entrar aquí destacamentos de infantería y de caballería__ Para la plaza de Intende</t>
  </si>
  <si>
    <t>Ministro Marques de Manfredini</t>
  </si>
  <si>
    <t>del pasado SS. MM. II. para Lintz, donde se hallan el Elector de Salzburgo, el Ministro Marques de Manfredini y el Gran Mariscal de la Corte Conde de Wolkensteyn. Ya están arreglados algunos de los asuntos de las negociaciones entabladas muchos meses hace entre la Baviera</t>
  </si>
  <si>
    <t>Ministro Mr</t>
  </si>
  <si>
    <t>ha mediado entre el Príncipe de Gáles1 con el Rey, el Duque de York y ei primer Ministro Mr* Addington , la qual es tan larga como- interesante. El Príncipe de Gáles, -heredero del trono , se halla de Coronel de un regimiento de dragones. Viendo las c</t>
  </si>
  <si>
    <t>de esta determinación , no creyó que esto bastase, y mandó en conseqüencia á su Ministro Mr. de Buol Schavenstein que presentase una memoria á la Baviera , exigiendo una sumisión plena y entera á los decretos del consejo áulico del Imperio , y al cons</t>
  </si>
  <si>
    <t>Ministro Ney</t>
  </si>
  <si>
    <t>ntro de muy pocos dias habrán ya desocupado enteramente la Helvecia. El General Ministro Ney ha salido también de Friburgo, dexando por Encargado de Negocios al Secretario de legación Rouhieres. Basiiea 12 de Diciembre. Mediante á ser en Friburgo y no</t>
  </si>
  <si>
    <t>Ministro Ney, General</t>
  </si>
  <si>
    <t>General Ministro Ney</t>
  </si>
  <si>
    <t>llan en Suiza, las quales dentro de muy pocos dias habrán ya desocupado enteramente la Helvecia. El General Ministro Ney ha salido también de Friburgo, dexando por Encargado de Negocios al Secretario de legación Rouhieres. Basiiea 12 de Diciembre. Mediante á ser en Friburgo y no en Schaífusa en dond</t>
  </si>
  <si>
    <t>Ministro Otomano</t>
  </si>
  <si>
    <t>ivo de acercarse el invierno. ALEMANIA. Hamburgo /* de Octubre. Mr. Árgiropolo, Ministro Otomano cerca de la Corte de Berlín, presentó el 9 del corriente sus cartas credenciales á S. M. Prusiana. Acaban de dar los literatos Alemanes otra prueba de su fecun</t>
  </si>
  <si>
    <t>Ministro Plenipotenciario</t>
  </si>
  <si>
    <t>.Baviera y el Elector Archi-Canelller, ha determinado este tener en adelante un Ministro Plenipotenciario en la corte de Munich, y ha nombrado para ello á Mr. de k raukenstein. El .pean Hans permanecerá encargado de las negociaciones eclesiásticas;- ó: La corte de Vi</t>
  </si>
  <si>
    <t>Ministro Prusiano</t>
  </si>
  <si>
    <t>breros, que vendan y distribuyan dicho libelo infamatorio.” El Conde de Goertz, Ministro Prusiano en Ratisbona, acaba de comunicar á sus colegas, en circular , una decisión importante de S. M.Prusiana, acerca de la nueva forma de los cabildos que existen en l</t>
  </si>
  <si>
    <t>torio Dinamarqués para ir á Tonningen. No ha sido mas feliz la intervención del Ministro Prusiano, en el mismo negocio, en el que no se ha mezclado el Embaxador Ruso. Nuestros comerciantes esperan que ahora, á principios del invierno^ en cuyo tiempo es muy</t>
  </si>
  <si>
    <t>ico, y que recaerá esta dignidad en el Archiduque Antonio. El Conde de Goe-rtz, Ministro Prusiano cerca de la Dieta de Ratis</t>
  </si>
  <si>
    <t>ermánica. Casi todos los dias hay conferencias extraordinarias en la posada del Ministro Prusiano, á las que asisten el de Baviera, y los de los demas grandes Estados de Alemania. Todos los negocios se tratan con el mayor sigilo, y hasta ahora solo se sabe</t>
  </si>
  <si>
    <t>Ministro Rusos</t>
  </si>
  <si>
    <t>haberse estos negado á acceder á las instrucciones que les han querido dar los Ministros Rusos, con motivo de lo acaecido en Offemburgo y Ettenheim. Las cartas de Berlín anuncian que corre la voz de que dentro de poeo se hará una gran mudanza en la const</t>
  </si>
  <si>
    <t>Ministro Talieyrand</t>
  </si>
  <si>
    <t>icado el Monitor de París la respuesta del Ministro de Suecia á la circular del Ministro Talieyrand sobre la conspiración de Mr. Drake. Dicho Ministro sueco está enfermo, y ademas tiene ya licencia por un año para viajar por los países extrangeros. El Rey de</t>
  </si>
  <si>
    <t>Ministro Talkyrand</t>
  </si>
  <si>
    <t>ción de ia milicia, en cuyo arreglo se trabaja. Mltona j de Abril. \ Cuarta del Ministro Talkyrand al Barón de Edelsheim, Ministro del EkftW de Badén &gt; fecha 11 de Marzo.. J ccabiba de escribir á V. E. una nota cuyo objeto era pedir la arresesicilon de la ju</t>
  </si>
  <si>
    <t>Ministro Tesorero</t>
  </si>
  <si>
    <t>ellas las negociaciones á que pertenezcan , y poniéndose á continuación la del Ministro Tesorero de que se han manifestado los metales, baxo el concepto de que todos los que fueren deprebendidos sin estos documentos y las correspondientes marcas serán decomis</t>
  </si>
  <si>
    <t>méritos del Dr. D. Josef Sánchez Chaves, ha venido S. M. en conferirle plaza de Ministro Tesorero de sus Reales Caxas de Oruro. en América. En cumplimiento de las Reales cédulas de S. M. de 15 de Julio y 29 de Noviembre de 1797» se recibirán en la Tesorería ma</t>
  </si>
  <si>
    <t>Ministro Tesorero de las Reales</t>
  </si>
  <si>
    <t>niente Asesor del Gobierno é Intendencia del Cuzco. S. M« se ha servido nombrar Ministro Tesorero de las Reales caxás de S. Agustín de la Florida á D. Juan de Serra y Lloreda, electo Administrador de Tabacos de Aconcagua, en el Reyno de Chile. ’ Deseando S. M., por un ef</t>
  </si>
  <si>
    <t>Minuel Vicente de Torres</t>
  </si>
  <si>
    <t>les Reales, á la que se ha hecho mejora del quarro en la propia moneda de vales, ha señalado el Sr. D. Minuel Vicente de Torres, del Consejo de S. M., Teniente Corregidor de esta villa, el 3 del presente, de doce á una de su mañana, en las puertas de la audiencia de S. S., y ante D. Ramón de Milla Cuellár.</t>
  </si>
  <si>
    <t>Miquez y Emidio Aragunde, Miguel</t>
  </si>
  <si>
    <t>Miguel Miquez y Emidio Aragunde</t>
  </si>
  <si>
    <t>Cov-ían-, D. Josef Miquez , Ramón Rodríguez y D!. Josef Poladura, el que mas de 10 años de edad, y D. Miguel Miquez y Emidio Aragunde de 12. años: de manera que todos los circunstantes no pudieron menos de manifestar el particular gozo, complacencia y admiración al ver las ventajas del método elegido, zelo del maes</t>
  </si>
  <si>
    <t>Miralles, Antonio</t>
  </si>
  <si>
    <t>Antonio Miralles</t>
  </si>
  <si>
    <t>servido el Rey promover á Capitanes primeros á los Capitanes segundos D. Jesualdo López Sahajosa , D. Antonio Miralles , D. Josef Chacón y D. Pedro Orduña; á Capitanes segundos á los Tenientes D. Luis Negron, D. Francisco del Rey y D. Miguel Baños López; y á Tenientes á ios Subtenientes D. Manuel</t>
  </si>
  <si>
    <t>Míreos Ribera</t>
  </si>
  <si>
    <t>..... . 141-25 Míreos Ribera..................... ......................................... ,4I-25 Juan Ramirez....................... Hoyo de Arenas...... . 141-25 PLANA MAYOR.</t>
  </si>
  <si>
    <t>Mirosa, Ramón</t>
  </si>
  <si>
    <t>Ramón Mirosa</t>
  </si>
  <si>
    <t>Lázaro Dou*. para una Ganongía de la catedral de Gerona, vacante por muerte de I&gt;. Josef Nicolao, á D. Ramón Mirosa: para otra de la colegial de Borjadiócesis de Tarazona, vacante por fallecimiento de D. Dámaso Navarro, á D. Tadeo Sangüesa: para una Ración de la parroquial de la villa de Estadi</t>
  </si>
  <si>
    <t>Miteau Blavíile</t>
  </si>
  <si>
    <t>rústica á 20 rs. , Instrucción para la teneduría de libros en partida doble, escrita en francés por Mr. Miteau Blavíile, y traducido por D. Josef de Cabredo. Se hallará en la librería de Ciaros, calle del Arenal; en Cádiz en la de Pajares, en Barcelona en la de Sierra, en Málaga en la de Carreras,</t>
  </si>
  <si>
    <t>Mitjavik</t>
  </si>
  <si>
    <t>28 Dr. Mitjavik ufl exemplar de ella franco de pottes; y asimismo franquearle las cartas que quieran escribirle, de otra manera no las recibirá. Compendio del año 1804, ó recolección de varias cu</t>
  </si>
  <si>
    <t>Mitjavila</t>
  </si>
  <si>
    <t>ía de Castillo se halla un exemplar del primer trimestre de la Correspondencia diterario-médica del Dr. Mitjavila, el que podrán ver los que nó quieran subscribirse sin conocimiento dé la obra. Cada trimestre contendrá con ¿poca diferencia 30O páginas en 8.° EL primero contiene las materias s</t>
  </si>
  <si>
    <t>Mitjavila y Fisonell, Vicente</t>
  </si>
  <si>
    <t>Vicente Mitjavila y Fisonell</t>
  </si>
  <si>
    <t>la experiencia y en la doctrina browniana, traducido del italiano por el Dr. D. Vicente Mitjavila y Fisonell, Médico honorario de Real familia: quaderno 17. Se.hallará en la librería de Castillo, en donde se halla ei tomo i.° de trimestre del mismo autor, adonde deberán acudir los subscriptores</t>
  </si>
  <si>
    <t>Mmuel Pérez</t>
  </si>
  <si>
    <t>........... 141..25 Mmuel Perez........................ O ejo.............................. *4,-25 Juan Manuel Martínez........ Cuenca............ ... ............. 141.-23 Ramón Iglesias................... Nava-h</t>
  </si>
  <si>
    <t>Mocenigo</t>
  </si>
  <si>
    <t>obable, en quanto al motivo de aumentarse las tropas en Corfú, es qut por lo odioso del gobierno de Mr. Mocenigo, y por las distancias de unas islas á otras, habrá juzgado la Rusia ser necesario aumentar las guarniciones , y apoyar vigorosamente con las armas su nueva legislación. (El Monito</t>
  </si>
  <si>
    <t>Mocenigo, Conde</t>
  </si>
  <si>
    <t>Conde Mocenigo</t>
  </si>
  <si>
    <t>volvieron ambos Cuerpos al palacio del gobierno, desde donde pasaron inmediatamente á la posada del Conde Mocenigo á cumplimentarle, por ser el cumpleaños del Emperador Alexandro i. Con este motivo hizo salva la artillería de las fortalezas y de una fragata rusa; hubo iluminación general; el t</t>
  </si>
  <si>
    <t>dor ha promovido á Consejero de colegio al Secretario de Estado Conde Juan Capodistrii, agregado ai Conde Mocenigo, Ministro plenipotenciario cerca de la República de las Siete-Islas, en premio de los señalados servicios que ha hecho en la organización de aquella nuera potencia. Ha obtenido la</t>
  </si>
  <si>
    <t>Moldenhauer</t>
  </si>
  <si>
    <t>Designan, ademas del Presidente, para miembros de este ministerio á Mr. Baile, Obispo deSeelando, á Mr. Moldenhauer, profesor de teología, y á Mr. Schlegel, profesor de leyes. La pla^a de Secretario dicen que se la darán á Mr. Rahbeck, literato distinguido—^ Mr. Guldberg, poeta acreditado, hijo</t>
  </si>
  <si>
    <t>Molina, Antonio</t>
  </si>
  <si>
    <t>Antonio Molina</t>
  </si>
  <si>
    <t>ph Bertnudez de Castro: en el de Valencia Ayudantía al Teniente de granaderos, graduado de Capitán, D. Antonio Molina: en el de León Subtenencia de bandera al Sargento^ primero de granaderos D. Andrés Rodríguez : en ei de América- Tenencia al Subteniente de granaderos D. Carlos Porta, y Subtenenc</t>
  </si>
  <si>
    <t>Moliné, Francisco</t>
  </si>
  <si>
    <t>Francisco Moliné</t>
  </si>
  <si>
    <t>infantería de la Havana; é igual empleo en el batallón de Voluntarios de Gerona al Sargento primero D. Francisco Moliné. S. M. se ha servido conceder en los regimientos de infantería de Granada , Navarra, América y Ñapóles Tenencias á los Subtenientes Don Miguel de Córdoba y Figueroa, D. Francisco</t>
  </si>
  <si>
    <t>Momiet, General</t>
  </si>
  <si>
    <t>General Momiet</t>
  </si>
  <si>
    <t>á poner las boyas ejn la costa de Z Unda., én- lo.srpíirages de, dpn.de las había mandado quitar el General Momiet ,• quaudo declaró la isla de Walcheren en estado de sitio.</t>
  </si>
  <si>
    <t>Mon, Romualdo</t>
  </si>
  <si>
    <t>Romualdo Mon</t>
  </si>
  <si>
    <t>servido nombrar para el Deanato , primera silla de la catedral de Córdoba, vacante por promoción de D. Romualdo Mon á la mitra de Tarragona, á D. Felipe Ventura Gonzalez,, Medio-Racionero de ella: para ía Chantría y Canongía de la de Sigüenza, que han quedado vacantes por promoción al Deanato d</t>
  </si>
  <si>
    <t>Moncada, Vicente</t>
  </si>
  <si>
    <t>Vicente Moncada</t>
  </si>
  <si>
    <t>ntes de bandera de los de Badajoz, Valladolid, Sigüenza, Lorca y Ronda á D. Luis Sánchez Diosdado , D. Vicente Moneada, D. Alfonso Gallego y Perez, D. Josef Morales y Galera y D. Josef Luis Noguera y.Mendez* „ Para el Gobierno del fuerte de Torremolinos ha nombrado el Rey al Capitán D. Josef Bravo</t>
  </si>
  <si>
    <t>Moneaban, Miguel</t>
  </si>
  <si>
    <t>Miguel Moneaban</t>
  </si>
  <si>
    <t>los de Badajoz, Toro , Laredo y Betanzos á los Subtenientes D. Francisco Mercado, D. Pablo Galarza, D. Miguel Moneaban y D. Antonio Riomayor: á Subtenientes de granaderos de los de Ciudad-Rodrigo, Laredo, Avila y Chinchilla á los de fusileros D. Gaspar Escapa y Leal, D. Josef Falla y la Fuente, D. Mar</t>
  </si>
  <si>
    <t>Monnet, General</t>
  </si>
  <si>
    <t>General Monnet</t>
  </si>
  <si>
    <t>endo la administración departamental de la Zelanda reclamado contra el embargo hecho por orden del« General Monnet, de algunos géneros ingleses que se encontraron en las ciudades de Weere, Middel— burgo y Flesinga, el General francés ha contestado , diciendo entre otras cosas... ,,Ignoro si lo</t>
  </si>
  <si>
    <t>Monroe</t>
  </si>
  <si>
    <t>Embajadores Americanos que sucesivamente ha habido en esta residencia, Mr. Lewinston, que la dexa, Mr. Monroe, que lo reemplaza. También asistid Mr..de la Fayette. Reyno en la mesa la cordialidad mas franca , una alegría suave y decente entre 50 convidados reunidos allí de diferentes para</t>
  </si>
  <si>
    <t>Monsagrati, Francisco</t>
  </si>
  <si>
    <t>Francisco Monsagrati</t>
  </si>
  <si>
    <t>de Santa María, S. Juan y S. Martin de la villa de Arjona, diócesis de Jaén , vacante por muerte de D. Francisco Monsagrati , con la obligación que tiene anexa de servicio, turno de misas y confesonario, á D. Rafael Antonio Ortiz de Zarate: para una Ración dé la parroquial de la ciudad de Cascante, en</t>
  </si>
  <si>
    <t>Monserrat, Antonio</t>
  </si>
  <si>
    <t>Antonio Monserrat</t>
  </si>
  <si>
    <t>o Mártir, unido al 3.0 y 4.0 de S. Miguel, vacante en la catedral de Barcelona por fallecimiento de D. Antonio Monserrat, á D. Sebastian Perarnau: para la Dignidad de Sacristán mayor de la colegial de Monzon, en la diócesis de.Lérida* á Don</t>
  </si>
  <si>
    <t>Montalvo, Francisco</t>
  </si>
  <si>
    <t>Francisco Montalvo</t>
  </si>
  <si>
    <t>10 tomos en 8.° en 5. 2.0: D. Josef Coitar: Degerando , Arte de pensar, 4 tomos un 8.° mayor. 2.0: D. Francisco Montalvo : Condillac, Origen de los conocimientos humanos, 3 tomos en 8.®__ Economía política. i.°: D. Luis Gutiérrez de los Ríos: Srnith, Riqueza de las naciones, 5 tomos en 8.° 2.0: D. J</t>
  </si>
  <si>
    <t>Montañés, Luis Vicente</t>
  </si>
  <si>
    <t>Luis Vicente Montañés</t>
  </si>
  <si>
    <t>a. S. M. se ha servido nombrar para la Vara de Alcalde mayor del Gobierno de la villa de Infantes á D. Luis Vicente Montañés: para la de la villa de Uclés á D. Pedro Talsac: para la de Villahermosa á D. Pedro Pascual García Barona: para la de la Mota del Cuervo á D. Josef Antonio Martin Palomino, todas</t>
  </si>
  <si>
    <t>Montemayor, Joaquín</t>
  </si>
  <si>
    <t>Joaquín Montemayor</t>
  </si>
  <si>
    <t>férez al Portaestandarte D. Manuel de Castro; y en el de cazadores de Almansa á Capitán al Ayudante D. Joaquin Montemayor. Ei Rey se ha servido promover á Subtenientes del Real cuerpo de Artillería, en premio de su aplicación y mérito, á los caballeros Cadetes del Real colegio militar de Segovia D. J</t>
  </si>
  <si>
    <t>Montemayor, Miguel</t>
  </si>
  <si>
    <t>Miguel Montemayor</t>
  </si>
  <si>
    <t>r Clavijo, D. Josef Julián, D. Francisco Topete, D. Manuel del Castillo, D. Vicente María Saavedra, D. Miguel Montemayor, D. Antonio Ausejo, D. Martin de Mendoza, D. Felipe Ibargiien, D. Francisco Solís, D. Josef Pasalagua, D. Diego de Aguirre, D. Vicente Climent, D. Juan Albornoz, D. Joaquin de Tol</t>
  </si>
  <si>
    <t>Montengon, Pedro</t>
  </si>
  <si>
    <t>Pedro Montengon</t>
  </si>
  <si>
    <t>á , de Escribano y de la viuda de Quiroga, calle de las Carretas. Frioleras eruditas y curiosas por D. Pedro Montengon: contiene varios asuntos científicos entresacados de muchas obras de erudición, útiles á la vida humana, y necesarios en la sociedad civil,: un tomo en 8.° Se hallará en Ja, libre</t>
  </si>
  <si>
    <t>pgaly el Temora, poemas épicos de Osian, antiguo poeta céltico, traducidos ¿al verso castellano por D. Pedro Montengon •. tomo i.° en 4.0 Véndese en las librerías de Escribano, calle de las Carretas , y en la de Campo, calle de Alcalá, Quaderno 2,.° del Diccionario de hombres ilustres. Se hallará</t>
  </si>
  <si>
    <t>Montero de Espinosa, Antonio</t>
  </si>
  <si>
    <t>Antonio Montero de Espinosa</t>
  </si>
  <si>
    <t>ipotecado a un censo».impuesto á favor de 1^ caxa^jljnrr .¿elReal eujsrpo He.'Guardías de Corps por D. Antonio Montero de Espinosa; y ^den^as en. la propia villa de Barajas 4 pedazos de tierra ,-donde-dken^XÍascasas.&gt;~que..-CQmpanejp fanegas» estimadas en 24900 rs. js. pífales de censo perpetuo,</t>
  </si>
  <si>
    <t>Montero del Carpió, Luis</t>
  </si>
  <si>
    <t>Luis Montero del Carpió</t>
  </si>
  <si>
    <t>u Real casa y corte, y escribanía de provincia de JA Simón .Raiiz., penden los autos de concurso de D. Luis Montero del Carpió , en los quales recayó sentencia sde graduación.en 13 de Julioude 17Ó1, y'fue confirmada por ejecutoria fie los Srcsl del Consejo de &lt;16 de -Febrero de' 1-765-; y para-hacer pago</t>
  </si>
  <si>
    <t>Montero Gmjon, Francisco</t>
  </si>
  <si>
    <t>Francisco Montero Gmjon</t>
  </si>
  <si>
    <t>Ñero , á D. Angel Lorenzo, Cura párroco de Carriches: para la de Salamanca-, vacante por muerte de D. Francisco Montero Gmjon, á D. Marcelino Sánchez Rangels : para la de Málaga, vacante por fallecimiento de D, Agustín Galindo, á D. Josef Navarrete, Capellán de honor</t>
  </si>
  <si>
    <t>Montero y de Bigodet, Joaquín</t>
  </si>
  <si>
    <t>Joaquín Montero y de Bigodet</t>
  </si>
  <si>
    <t>Plata; y á Subteniente de bandera en el primero de Barcelona ai Cadete de Reales Guardias Españolas D. Joaquín Montero y de Bigodet. En io de Junio último se consagró en la catedral de Lérida el limo. Sr. D. Joaquín Carrillo Mayoral, Obispo de Zamora, por el limo. Señor D. Gerónimo María de Torres, Obispo de l</t>
  </si>
  <si>
    <t>Montero, Rafael</t>
  </si>
  <si>
    <t>Rafael Montero</t>
  </si>
  <si>
    <t>fusileros D. Josef Benica y D. Francisco Diez Barroso; á Tenientes á los Subtenientes de granaderos D. Rafael Montero y D. Agustín de Aguirre, á los de fusileros D. Agustin de Urrutia, D. Josef de Uviella y D. Miguel Valenzue(lá , y á los de bandera D. Josef Fulgencio Rósales y D. Josef María Roa; á</t>
  </si>
  <si>
    <t>Montes y Guzman, Francisco</t>
  </si>
  <si>
    <t>Francisco Montes y Guzman</t>
  </si>
  <si>
    <t>la viuda de Santander, en la Havana en la imprenta de la Capitanía general, y en México en casa de D. Francisco Montes y Guzman, junto á la estampa del Refugio. Los números sueltos también se venden á § quartos cada uno. Sistema universal de los principios del derecho marítimo de la Europa : es* crito en i</t>
  </si>
  <si>
    <t>errol en la de Rodríguez, enlaHavana en la imprenta de la Capitanía general, y en México en casa de D. Francisco Montes y Guzman, junto á la estampa del Refugio. Para completar las colecciones se venden los números sueltos en Madrid, á 5 quartos cada uno. Memorial literario, núm. ivr, contiene varios extrac</t>
  </si>
  <si>
    <t>Montes, Felipe</t>
  </si>
  <si>
    <t>Felipe Montes</t>
  </si>
  <si>
    <t>á los Capitanes primeros Don Josef Santa Cruz y D. Josef Falck: á Capitanes primeros á los segundos D. Felipe Montes y D. Manuel Oterwin: á Ayudantes primeros del regimiento Real de Zapadores á D. Felipe Lacorte y D. Alexandro Pastor; y á Capitanes segundos á los Tenientes D. Isidoro García de Monte</t>
  </si>
  <si>
    <t>Montes, Juan</t>
  </si>
  <si>
    <t>Juan Montes</t>
  </si>
  <si>
    <t>nly, de granaderos, y D. Pedro Santacilia, Ayudante: á la resulta de este al Teniente de granaderos D. Juan Montes: á Tenientes de granaderos á los de fusileros D. Francisco Morales y D. Ignacio Salazar: ¿Tenientes á los Subtenientes de granaderos D. Luis Arnaiz,D. Manuel Alonso y D. Antonio M</t>
  </si>
  <si>
    <t>Montes, Matías</t>
  </si>
  <si>
    <t>Matías Montes</t>
  </si>
  <si>
    <t>el Rey y del Infante se ha servido S. M. promover á Ayudantes á los Tenientes de los mismos cuerpos D. Matías Montes y D. Gabriel Tagle. El Rey ha nombrado Subteniente de la Compañía de fusileros Guardabosques Reales al Subteniente de infantería D. Antonio Palay, Sargenco primero de la misma. En los</t>
  </si>
  <si>
    <t>Montesoro y Moreno, Manuel</t>
  </si>
  <si>
    <t>Manuel Montesoro y Moreno</t>
  </si>
  <si>
    <t>ristóbal, D. Mateo Hernández de Urcullo, D. Antonio del Riosoto y Espino, D. Josef Graces y Graces, D. Manuel Montesoro y Moreno , D. Ramón Ibañez Lo</t>
  </si>
  <si>
    <t>Montgelas</t>
  </si>
  <si>
    <t>austríaco- cerca de nuestra corte, ha presentado segunda nota al Ministro de. negocios extrangeros Mr. Montgelas , sobre los asuntos de la nobleza inmediata, en virtud de no haber tenido respuesta ninguna á la primera que presentó á S. A. E..de órden.de su corte. En esta última se refiere pu</t>
  </si>
  <si>
    <t>Montignani, Carlos</t>
  </si>
  <si>
    <t>Carlos Montignani</t>
  </si>
  <si>
    <t>de Capitán, D. Jacinto García, como también Tenencia en el de Ultonia al Subteniente de granaderos D. Carlos Montignani. S. Al. se ha servido nombrar Tenientes Coroneles dei Real cuerpo de Artillería al Sargento mayor, graduado de Coronel, D. Juan de Ara; ai de igual clase, graduado de Teniente Cor</t>
  </si>
  <si>
    <t>Montigny, General</t>
  </si>
  <si>
    <t>General Montigny</t>
  </si>
  <si>
    <t>s de esquadra, miembros igualmente de la misma Legión de honor, iban en los 4 ángulos del ataúd. El General Montigny, Comandante de las armas dé esta ciudad, y todos los empleados por el gobierno, asistiéron al entierro. El R. Obispo, acompañado de un numeroso clero, ofició de pontifical. Etaple</t>
  </si>
  <si>
    <t>Montoro, Bartolomé</t>
  </si>
  <si>
    <t>Bartolomé Montoro</t>
  </si>
  <si>
    <t>e la catedral de Córdoba, vacante por promoción de D. Felipe Ventura González al Deanato de ella, á D. Bartolomé Montoro, Cura del hospital de Baeza: para el Beneficio simple Préstamo de la parroquial de S. Esteban del lugar de I os Valbases, diócesis de Burgos, vacante por fallecimiento de D. Manue</t>
  </si>
  <si>
    <t>Montoya, Francisco Antonio</t>
  </si>
  <si>
    <t>Francisco Antonio Montoya</t>
  </si>
  <si>
    <t>pobres de limosna. El que quisiere solicitar dicha plaza dirigirá su memorial, franco de porte , á D. Francisco Antonio Montoya, Regidor perpetuo de dicha villa 1 en la inteligencia que dicha plaza se proveerá en el mas benemérito el 15 de Marzo del presente año. Reglamento de nueva constitución en eí Cole</t>
  </si>
  <si>
    <t>Montoya, Pedro</t>
  </si>
  <si>
    <t>Pedro Montoya</t>
  </si>
  <si>
    <t>rcunstancias dará razón en Madrid D. Mariano Gil, comerciante en la calle de la Montera, en Granada D. Pedro Montoya, Abogado de los Reales Consejos, y en la dicha villa de la Peza D. Josef Fernandez Hermoso, Escribano de su Ayuntamiento. Deseosa la Real dirección de abastos de Madrid de continu</t>
  </si>
  <si>
    <t>Moore</t>
  </si>
  <si>
    <t>las enmiendas que había hecho áPbill, Mr. Pitt propuso se procediese á lá segunda lectura. Opúsose Mr. Moore, exponiendo todas las dificultades que encontraba en el bilí, aún mas reprehensible, según su opinión, por atacar los principios de la constitución, que el del exército de reserva</t>
  </si>
  <si>
    <t>Moore, Capitán</t>
  </si>
  <si>
    <t>Capitán Moore</t>
  </si>
  <si>
    <t>itán Hamond, que mandaba la Briosa, ha llegado á Portsmoutfr con la fragata la Fama, y se espera al Capitán Moore con las fragatas Medea y Clara. A bordo de la fragata que se voló habia 300 hombres, todos los quales perecieron. En un papel ministerial se dice lo siguiente: ,,Estamos autorizad</t>
  </si>
  <si>
    <t>Mor, Francisco</t>
  </si>
  <si>
    <t>Francisco Mor</t>
  </si>
  <si>
    <t>, á. mediodia con Juan.AJbiz , á poniente herederos de Pedro.López Adan, y.i la sierra heredaros de D. Francisco Mor.ales, á 530 rs. Otra en Buena vista, de í fam 110 cel. , linde á oriente el arroyo,, á: medio, dia el colegio de Málaga de</t>
  </si>
  <si>
    <t>Mora, Ignacio</t>
  </si>
  <si>
    <t>Ignacio Mora</t>
  </si>
  <si>
    <t>brado el Rey Cadete de número al Supernumerario D. Juan Rodríguez; y Supernumerarios á los Guardias D. Ignacio Mora y D. Josef Pacheco. ,S. M. se ha servido nombrar Guarda-Almacén ordinario de Artillería, de la plaza de Cartagena á D. Carlos Gómez Somorostro; Guarda-AK macen ordinario de Artillería</t>
  </si>
  <si>
    <t>Moragon Mpnteagudo, Martín</t>
  </si>
  <si>
    <t>Martín Moragon Mpnteagudo</t>
  </si>
  <si>
    <t>tir, Cer-. regidor de esta villa, el Vicario ecónomo D. Antonio, López liara *í&lt;to4, mo Director, y D. Martin Moragon Mpnteagudo, su Secretario * y par*&gt; que tan ventajoso establecimiento continuase» sé ha abierto una snbscripn ék&gt;n, hallándose ya un número bastante de individuos» quienes á exem-r pió de lo</t>
  </si>
  <si>
    <t>Morales, Antonio</t>
  </si>
  <si>
    <t>Antonio Morales</t>
  </si>
  <si>
    <t>batallón de milicias disciplinadas de infantería de Puerto-Príncipe, se ha servido el Rey nombrar á D. Antonio Morales, Teniente con funciones de Ayudante de la plana mayor de blancos, agregada al batallón de milicias de pardos libres de Cuba y Ba* yamo; y para esta resulta á D. Lúeas Freyre, Cade</t>
  </si>
  <si>
    <t>Morales, Francisco</t>
  </si>
  <si>
    <t>Francisco Morales</t>
  </si>
  <si>
    <t>la Talayüela , de 3 fan. , linde á oriente la huelga de les Olmillos, á mediodia tierra que fué de Don Francisco Morales, á poniente herederos de Felipe di: la Cámara, y á la sierra Diego de la Vega , á 700 rs. , de-cuyo.importe baxados 900 rs. del principal del censo que contra sí tiene y á favor ,</t>
  </si>
  <si>
    <t>iodia Juan López Recio , á 350 rs. Otra en dicho parage de 2 fin., linde á oriente con herederos de D. Francisco Morales, a mediodía con la vereda*, y á poniente herederos de María Diaz, á 250 rs. continuará.} Por decreto del Sr. Intendente de esta provincia se han señalado 30. días de término para</t>
  </si>
  <si>
    <t>ulta de este al Teniente de granaderos D. Juan Montes: á Tenientes de granaderos á los de fusileros D. Francisco Morales y D. Ignacio Salazar: ¿Tenientes á los Subtenientes de granaderos D. Luis Arnaiz,D. Manuel Alonso y D. Antonio Moreno, y al de fusileros D. Juan Quiñones: á Subtenientes de granaderos</t>
  </si>
  <si>
    <t>Morcan, General</t>
  </si>
  <si>
    <t>General Morcan</t>
  </si>
  <si>
    <t>la acusación: en rigor no hay necesidad de ninguna'justificación en este punto: mas sin embargo, el General Morcan se aprovechará con gusto de esta ocasión, para manifestar á toda la Francia, la parte que tuvo en los sucesos del 18 Fructidor.”.... Siguen luego ios defensores tratando brevement</t>
  </si>
  <si>
    <t>Moréa-u, General</t>
  </si>
  <si>
    <t>General Moréa-u</t>
  </si>
  <si>
    <t>ucesos que. precedieron al 18 Fructidor- del añó v, y particularmente por la correspondencia que el General Moréa-u envió al Directorio, Pichegrú alimentaba en Inglarerra el odio contra sil patria'. En el año vm se.hallaba con Villot en ios exércitos enemigos, para reunirse i los.bandidos del Med</t>
  </si>
  <si>
    <t>Moreau y Carlos de Riviere, General</t>
  </si>
  <si>
    <t>General Moreau y Carlos de Riviere</t>
  </si>
  <si>
    <t>ó el perdón de su marido.__ Jorge y los otros sentenciados á pena capital, ó á encierro, excepto el General Moreau y Cárlos de Riviere, han apelado al tribunal de Casación. Es muy probable , que los que han con eguido el perdón desistirán ó habrán desistido ya de este recurso. Según la jurisprudencia del tribunal</t>
  </si>
  <si>
    <t>Moreau, General</t>
  </si>
  <si>
    <t>General Moreau</t>
  </si>
  <si>
    <t>grú, va furtivamente de París á Londres, vuelve de Londres á París ^ lleva i Pichegrú las ideas del General Moreau , trae al General Moreau las ideas y designios de Pichegrú y sus asociados, y los bandidos de Georges preparan dentro de París mismo todo lo necesario para exeeutar los proyectos</t>
  </si>
  <si>
    <t>El ciud. Patris , impresor del tribunal, criminal, va á imprimir el &gt;roceso de Jorge, Pichegru , el General Moreau y demas , á cuyo efecto f e comunicará el tribunal todas las piezas de diqhp proceso. Esta obra se publicará de dos maneras: i.° en forma de diario , remitiendo á los subscriptores un</t>
  </si>
  <si>
    <t>yo. Escriben de Francia que en adelante correrán las fuentes en SaíntCloud todos los domingos___ El General Moreau está decentemente alojado en la prisión; y su esposa tiene permiso de visitarle en presencia de la guardia.__ Van á señalarse al primer Cónsul en los montes de Fontainebleau y de Co</t>
  </si>
  <si>
    <t>das las demas preguntas se halló negativo, y especialmente sobre su reconciliación y visitas con el General Moreau , trato con J^rge ni otro alguno de los acusados ; púnicamente confesó haber estado alojado un dia y dos noches en casa de su amigo Roland, y haber visto á su hermano una ó dos ve</t>
  </si>
  <si>
    <t>Se lia publicado una memoria justíficatira del General Moreau , esreau! ¡Aquel soldado modesto, grande solamente a‘l frente de los ejércitos , y en el día de batalla ; y en qualquiera otra circunstancia tan sencillo en sus modales y costumbr</t>
  </si>
  <si>
    <t>lgarse el secreto de la correspondencia de Kinglin. Luego que se descifró, pasó de mano en mana\ El General Moreau supo que se hablaba de ella públicamente; y aun ¿os oficiales llegaron á decirle, que era preciso resolverse, ó á dar cuenta al Directorio executivo de esta correspondencia, ó á s</t>
  </si>
  <si>
    <t>tratando brevemente este punto, y pasan al segundo cargo. David, amigo de Pichegrú , y conocido del General Moreau, formo el designio de reconciliarlos. Este pensamiento pertenece solamente á David, quien dio varios pasos para vencer la repugnancia de Moreau , y conseguir su fin. Escribió á un</t>
  </si>
  <si>
    <t>alidad en acumular pruebas de esta especie; pues dicen que las gazetas de Londres anunciaron que el General Moreau habia alzado eí estandarte de la rebelión contra el primer Cónsul, de lo que también pudiera hacérsele un cargo. — Sin embargo, estos mismos realistas se quejan luego de que en ll</t>
  </si>
  <si>
    <t>ar, sin b' qual la ley espera ai denunciador para castigarle, como calumniador, si no lo prueba. El General Moreau no ha tenido conocimiento de semejante conspiración ; nadie ha sido testigo de lo que han hablado Moreau’y Pichegrú; y quando este vio la repugnancia que aquel manifestó á la mas</t>
  </si>
  <si>
    <t>Moreno Lombardo, Pedro</t>
  </si>
  <si>
    <t>Pedro Moreno Lombardo</t>
  </si>
  <si>
    <t>el núm. 7 de la manzana 197, y otorgar la correspondiente de redención de dichos censos á favor de D. Pedro Moreno Lombardo , su actual dueño , por quien se ha hecho entrega en la Real caxa de consolidación y extinción de vales Reales de 10,561 rs. 3 mrs. á que ascendió el duplo capital y tres cincuent</t>
  </si>
  <si>
    <t>Moreno, Ignacio</t>
  </si>
  <si>
    <t>Ignacio Moreno</t>
  </si>
  <si>
    <t>bandera en el de Córdoba al Cadete D. Francisco Melgarejo, y en el de Zaragoza al Sargento primero D. Ignacio Moreno, y á los Cadetes D. Manuel Marcano y D. Antonio Melero. El Bey se ha servido promover d Teniente en el Regimiento de infantería de Córdoba al Subteniente D. Josef Alvarez Campana;</t>
  </si>
  <si>
    <t>Moreno, Juan</t>
  </si>
  <si>
    <t>Juan Moreno</t>
  </si>
  <si>
    <t>co Gallur, Sargento Juan Moreno........................ Roca..... 141. 25 segundo............................ Valencia., 425- 6 Vicente Blanco....................</t>
  </si>
  <si>
    <t>Moreno, Manuel</t>
  </si>
  <si>
    <t>Manuel Moreno</t>
  </si>
  <si>
    <t>xtremadura á-D. Blas San Millan, D. Fernando Rugidos y á D. Rodrigo Flores Picón: en ei de Málaga á D. Manuel Moreno, D. Pascual Ai varez Campana y D. Rafael España y Chico: en el de Jaén á D. Carlos Marrugat: en el de Ordenes Militares á D. Joaquín González de Quevedo: en el de Voluntarios de C</t>
  </si>
  <si>
    <t>Moreno, Manuel María</t>
  </si>
  <si>
    <t>Manuel María Moreno</t>
  </si>
  <si>
    <t>Caballero , á D. Lino Nepomuceno Gómez Galvan , Racionero de la. misma catedral: para esta Ración á D. Manuel María Moreno, Medio-Racionero de ella; y para esta resulta á D. Joaquín Antonio Lascari., Cura de S. Luis Huamantla. Igualmente se ha servido S. M. nombrar para una plaza de Oidor de la Real A</t>
  </si>
  <si>
    <t>Moreno, Santiago</t>
  </si>
  <si>
    <t>Santiago Moreno</t>
  </si>
  <si>
    <t>acuda ante dicho Sr. Teniente por la escribanía del numero de Don Claudio Sanz. Santiago Moreno, vecino de la ciudad de Logroño, hijo de Josef Moreno y de María Teresa Girón, ha fallecido en dicha ciudad, dexando por sus herederos universales á rodos sus sobrinos carnales y segundos</t>
  </si>
  <si>
    <t>Moreno, Tomás</t>
  </si>
  <si>
    <t>Tomás Moreno</t>
  </si>
  <si>
    <t>30 de Enero último. S. M. se ha dignado conferir el regimiento de infantería de Burgos al Brigadier D. Tomas Moreno, Teniente Coronel del de Soria; y Subtenencias en el de Mallorca á D. Manuel Torres y D. Manuel de Ortega, Sargento primero de granaderos y Cadete del mismo cuerpo, y á Don Santia</t>
  </si>
  <si>
    <t>Moretinij y Subtenencias, Bartolomé</t>
  </si>
  <si>
    <t>Bartolomé Moretinij y Subtenencias</t>
  </si>
  <si>
    <t>714 en el de Suizos ambulante de Rutiman Subtenencia de granaderos al Subteniente D. Bartolomé Moretinij y Subtenencias de bandera en el de la Princesa ai Cadete del Real Cuerpo de Ingenieros Cosmógrafos de Estado D. Vicente Valdivia; en el de Nápoies ai Cadete del de las Ordenes Militares D. Antonio</t>
  </si>
  <si>
    <t>Moreto, Ignacio</t>
  </si>
  <si>
    <t>Ignacio Moreto</t>
  </si>
  <si>
    <t>ses, en las islas Canarias, por el testamento que otorgó en el año de 1787 declaró estar debiendo á Don Ignacio Moreto, vecino del mismo pueblo, ó sus heredero», la cantidad de 400 pesos fuertes, procedentes de varios efectos que le dió por vía de empréstito, sin escritura, ni otra obligación, qua</t>
  </si>
  <si>
    <t>Moreyra, Salvador</t>
  </si>
  <si>
    <t>Salvador Moreyra</t>
  </si>
  <si>
    <t>Perez, D. Antonio Perez, D. Blas Pintos y D. Juan Bartolomé Rondeau; á Alféreces á los Portaguiones D. Salvador Moreyra y D. Juan Francisco Zamudio; á los Cadetes D. Josef María Escovar,</t>
  </si>
  <si>
    <t>Morí, Jacinto</t>
  </si>
  <si>
    <t>Jacinto Morí</t>
  </si>
  <si>
    <t>y ha nombrado para otra Canongía de merced de la Concepción de Chile, vacante por fallecimiento de D. Jacinto Morí-» lio, á D. Andrés Aboy, Cura de Mochita en aquel obispado: para la Canongía magistral de la catedral de Buenos-Ayres á D. Melchor Fernandez, Catedrático de teología en el Real col</t>
  </si>
  <si>
    <t>Moriana y Zafrilla, Marcos</t>
  </si>
  <si>
    <t>Marcos Moriana y Zafrilla</t>
  </si>
  <si>
    <t>el Obispado de Valladolid de Mechoacan, que ha vacado por muerte de Don Fr. Antonio de S. Miguel, á D. Marcos Moriana y Zafrilla, Inquisidor decano del tribunal de Cartagena de Indias; y para el de nueva erección de las misiones de Ma)^nas á Fr. Hipólito Sánchez Rengel, del orden de S. Francisco, Difinidor</t>
  </si>
  <si>
    <t>Morilla, Manuel Domingo</t>
  </si>
  <si>
    <t>Manuel Domingo Morilla</t>
  </si>
  <si>
    <t>provincia de D. Juan Antonio Díaz Moriega. Quien quisiere comprar un oficio de Receptor, propio de D. Manuel Domingo Morilla', Doña Hermógena y Doña Isidora Morilla, hijos y herederos de Don Juan Antonio Rodríguez Moriiía , y vecinos de la villa de Albacete, acuda á tratar de ajuste con D. Rafael JBarcel</t>
  </si>
  <si>
    <t>Moriot, Coronel</t>
  </si>
  <si>
    <t>Coronel Moriot</t>
  </si>
  <si>
    <t>General Mortier se halla aquí de regreso de Gottínga, adonde fué acompañado del General Mesle, del Coronel Moriot y de otros varios oficiales. Allí fué cumplimentado por una diputación de la Academia, á cuyo frente se hallaba Mr. de Mertens , Consejero de la corte: en la sala de la biblioteca se l</t>
  </si>
  <si>
    <t>MoronzoíF y dos Senadores, General</t>
  </si>
  <si>
    <t>General MoronzoíF y dos Senadores</t>
  </si>
  <si>
    <t>a numerosa-----También han venido de París Mr. de Hitroíf, Mayor General del Emperador de Rusia, e! General MoronzoíF y dos Senadores rusos 5 y han sido recibidos con sumo agrado por S. S. ai presentársele. La copiosa lluvia de ayer y la nieve que se ha derretido en los montes han hecho crecer tanto el Tíber, qu</t>
  </si>
  <si>
    <t>Moros, Francisco</t>
  </si>
  <si>
    <t>Francisco Moros</t>
  </si>
  <si>
    <t>brar para una Capellanía de la Real Capilla de Reyes nuevos de Toledo, vacante por fallecimiento dé D. Francisco Moros, á D. Juan Fernandez de Alfonso y Gándara : para una Canongía de la catedral de Astorga , vacante por muerte de D. Miguel Franco Quintanó; á D. Antonio Carnicero Perez, Cura de la</t>
  </si>
  <si>
    <t>Morpeth, Lord</t>
  </si>
  <si>
    <t>Lord Morpeth</t>
  </si>
  <si>
    <t>. Continuación de las noticias de Londres del 28 de Abril. En la Cámara de los Comunes el dia 16 el Lord Morpeth, después de solicitar la indulgencia de la Cámara por la poca regularidad de las observaciones que va á hacer, por quanto no las acompañará con ninguna propuesta, observa que en e</t>
  </si>
  <si>
    <t>Morras, Manuel</t>
  </si>
  <si>
    <t>Manuel Morras</t>
  </si>
  <si>
    <t>ro de la parroquia de Santiago de la villa de Sepúlveda, diócesis de Segovia, vacante por muerte de D. Manuel Morras, el qual debe unir-i se conforme á lo dispuesto por plan beneficial, á otro que está vacante años Hace en la propia iglesia; á D. Matías Fernandez Alegría, con precisa personal re</t>
  </si>
  <si>
    <t>Mortier</t>
  </si>
  <si>
    <t>aguarda, incesantemente al nuevo, Ministro de Inglaterra Lord Arbuthnot, quien viene acompañado de Mr. Mortier, nombrado Cónsul general de Inglaterra en Levante. RUSIA. Petersburgo 24 de Octubre. En el mes de Agosto se ha embarcado en Petersburgo por el valor de 2;635&gt;37rruM°s de géneros e</t>
  </si>
  <si>
    <t>Mortier, General</t>
  </si>
  <si>
    <t>General Mortier</t>
  </si>
  <si>
    <t>14 Hannóver 26 de Noviembre, El General Mortier se halla aquí de regreso de Gottínga, adonde fué acompañado del General Mesle, del Coronel Moriot y de otros varios oficiales. Allí fué cumplimentado por una diputación de la Acad</t>
  </si>
  <si>
    <t>asado llegó aquí en calidad de correo un oficial de la guardia consular, y fué á apearse á casa del General Mortier. Mr. de Erankenberg, Ministro'de Baviera en Munich , ha tenido últimamente 4 conferencias de oficio con el Conde de Cobentzel, Vice-&gt; Canciller de la monarquía austríaca. El nuevo</t>
  </si>
  <si>
    <t>ropas de la primera división y de la guarnición de Paris con título de Gobernador de la plaza, y ai General Mortier, que manda el exército de Hannóver, trno de los quatro Generales de la guardia consular. El primer Cónsul ha dado ayer audiencia al Senado conservador., 4 una diputación del Cuerp</t>
  </si>
  <si>
    <t>s emboscadas. (El Monitor. ) , , En la parada del domingo pasado hizo el primer Cónsul reconocer al General Mortier por uno de los qu.atro Generales guardia encargado especialmente del mando de la artillería. Elogió á este General por la conquista del Ilannóver, la rapidez con que venció toaos</t>
  </si>
  <si>
    <t>alers destinados á los sueldos de la comisión executiva, se unan á las cantidades concedidas por el General Mortier para el pago de los empleados públicos del electorado. Sacrificándoos por el bien general, gozareis de la dulce recompensa de vuestras penosas ocupaciones, y os grangeareis el apr</t>
  </si>
  <si>
    <t>Morussií El, Príncipe</t>
  </si>
  <si>
    <t>Príncipe Morussií El</t>
  </si>
  <si>
    <t>l Dragomán d'el actual Capitán' Baxá deponiéndole de su empico, que se ha dado al hermano menor dél Príncipe Morussií El mayor de estos Príncipes será elevado al puesto de primer Dragomán de la Puerta. La conducta y providencias del nuevo Capitán Baxá, Catir-Bey, manifiestan, que conoce el estado de</t>
  </si>
  <si>
    <t>Mosca</t>
  </si>
  <si>
    <t>ntarle el General francés Gardanne, y el Comisario de la República italiana, el ciud. Mosca. El Príncipe los convadó á comer, y les manifestó, con mucha expresión, el deseo sincero que tiene S, M. I. de Alemania de vivir en buena amistad con nuestro g</t>
  </si>
  <si>
    <t>Moscoso, Juan</t>
  </si>
  <si>
    <t>Juan Moscoso</t>
  </si>
  <si>
    <t>arriz; á: Gefé de Brigada ai Capítsn; primero D. Pedro Cándamó; á Capitanes primeros á los segundos D. Juan Moscoso y D. Manuel Velasco, y á Capitanes 'segundos á ios Tenientes D. Antonio Melgarejo y D. Manuel Gib deda Torre. S, M. se ha ^ervidaboüo^der título* de Barón, con la deñothinacion de Sal</t>
  </si>
  <si>
    <t>Mosquera, Francisco</t>
  </si>
  <si>
    <t>Francisco Mosquera</t>
  </si>
  <si>
    <t>a Mediar Ración de la iglesia de Popayan, vacante por haberla renunciado D. Matías Antonio Gómez, á D. Francisco Mosquera, Gura Rector de aquella catedral. En el regimiento de infantería .de NuevarEspaña se ha servido el Rey promover á Capitán ?1 Ayudante D. Juan Estor ¿ á Ayudante al Teniente D. Ant</t>
  </si>
  <si>
    <t>Motezuma y Roxas, Antonio</t>
  </si>
  <si>
    <t>Antonio Motezuma y Roxas</t>
  </si>
  <si>
    <t>de Marina del Departamento de Cádiz: para el Beneficio de S. Pedro de Murcia, vacante por muerte de.D. Antonio Motezuma y Roxas, y por dimisión de D. Andrés Antonio de Itucméndi, á quien habia nombrado S. M. por decreto de 27 de Marzo del año próximo pasado , á D. Joaquín</t>
  </si>
  <si>
    <t>Moyano, Tomás</t>
  </si>
  <si>
    <t>Tomás Moyano</t>
  </si>
  <si>
    <t>spacho el Estado militar en 8.° marquida. Por providencia de 23 de Diciembre próximo pasado del Sr. D. Tomas Moyano, del Consejo de S. M., Alcalde de su Real casa y corte , á instancia de los interesados, están uian¡dadas sacar á pública subasta por 30 dias una. casa sita en esta corte, en la.c</t>
  </si>
  <si>
    <t>Mozo, Joaquín Lorenzo</t>
  </si>
  <si>
    <t>Joaquín Lorenzo Mozo</t>
  </si>
  <si>
    <t>isco Leen Bendicho, Alcalde del crimen mas antiguo de la citada Chancillería; y para esta resulta á D. Joaquín Lorenzo Mozo. Ei Rey -se ha*servido nombrar para la plaza de Oidor de la Chancillería de Valladolid, vacante por ascenso de D. Mariano Alonso á otra de Alcalde cíela Real casa y corte, á D. Do</t>
  </si>
  <si>
    <t>Mozota, Manuel</t>
  </si>
  <si>
    <t>Manuel Mozota</t>
  </si>
  <si>
    <t>igadieres á los Subrigaáieres D. Roque Parrada y 1D. Manuel Pallares; á Subrigadieres á los Cadetes D. Manuel Mozota y D. Joaquín Soraviíia ; á Cadetes de numero á los supernumerarios D. JóséfPretel, D. Cristóbal Muñoz y D. Josef Alcayde, y á supernu■mérarió al‘Guardia D. Francisco Leria. Los tenedo</t>
  </si>
  <si>
    <t>Mr, Capitán</t>
  </si>
  <si>
    <t>Capitán Mr</t>
  </si>
  <si>
    <t>erto la fragata inglesa nombrada Amazona, procedente de la costa de Africa con negros bozales, cuyo Capitán Mr. ITunter ha hecho la declaración siguiente___ El 15 de Junio salió de la Martinica, y á las 6 horas de su salida se encontró con la fragata de guerra inglesa nombrada la Esmeralda</t>
  </si>
  <si>
    <t>Mr, Coronel</t>
  </si>
  <si>
    <t>Coronel Mr</t>
  </si>
  <si>
    <t>rimera clase,y al Chambelán y Capitán de Guardias de Corps de S. M. Sueca, Mr. de Guidenstolpe y al Coronel Mr. Tavat, también Sueco, con la misma orden de la segunda clase. Augsbitrgo 7 de Agosto* El Elector de Baviera ha publicado *un decreto muy interesante para los Judíos. Estos podrán</t>
  </si>
  <si>
    <t>Mucho Trigo, Gabriel</t>
  </si>
  <si>
    <t>Gabriel Mucho Trigo</t>
  </si>
  <si>
    <t>Alléreces veteranos Comandantes de Asamblea de los partidos de Nasca, Lambayeque, Camaná y Cañete á D. Gabriel Mucho Trigo y D. Melchor Car</t>
  </si>
  <si>
    <t>Mulheck</t>
  </si>
  <si>
    <t>iente de su llegada dió parte de estos documentos á Mr. de Crumpipen,,y remitió copias auténticas á Mr. Mulheck, Encargado de pegocios helvético en Viena, con orden de presentar reclamaciones enérgicas sobre este asunto al Ministro de Estado Conde de Cobentzel. —— Ha salido un correo para P</t>
  </si>
  <si>
    <t>Mulier</t>
  </si>
  <si>
    <t>anconia. Se ha hablado mucho en toda Alemania de la dimisión hecha en Viena por el Consejero áulico Mr. Mulier.(.de SchafFusa). Es uno dé los autores clásicos alemanes, y conocido y apreciado en los países extrangeros por su excelente historia de Suiza.—.El Ministro prusiano en Viena ha in</t>
  </si>
  <si>
    <t>Muller, Carlos</t>
  </si>
  <si>
    <t>Carlos Muller</t>
  </si>
  <si>
    <t>Francisco Ceeberg: en el de Traxler al Sargento primero de granaderos D. Federico Behr y al Cadete D. Carlos Muller; y en el de Courten al Cadete D. Luis Robatel. En atención ai mérito y distinguidas circunstancias del Capitán de dragones agregado al Estado mayor de la plaza de Málaga D. Guille</t>
  </si>
  <si>
    <t>Muller, Coronel</t>
  </si>
  <si>
    <t>Coronel Muller</t>
  </si>
  <si>
    <t>esta causa, eran el ciud. Egger (de Arwangen), miembro del Consejo mayor del cantón de Berna, y el Coronel Muller, del mismo común.__ El tribunal del distrito, que pronunció en esta causa en primera instancia, condenó á los acusados á dos años de encierro; pero habiendo apelado de esta senten</t>
  </si>
  <si>
    <t>Munarriz, Juan</t>
  </si>
  <si>
    <t>Juan Munarriz</t>
  </si>
  <si>
    <t>u En el Real cuerpode^A&amp;íHéría ge ha servido el* Rey promover á Témidnte Coronel al-Gefé dé Brigada D. Juan Munarriz; á: Gefé de Brigada ai Capítsn; primero D. Pedro Cándamó; á Capitanes primeros á los segundos D. Juan Moscoso y D. Manuel Velasco, y á Capitanes 'segundos á ios Tenientes D. Anton</t>
  </si>
  <si>
    <t>Muñiz Prada, Francisco</t>
  </si>
  <si>
    <t>Francisco Muñiz Prada</t>
  </si>
  <si>
    <t>de Oviedo, vacante por promoción de D. Bernando Luege á otra de la catedral de la misma diócesis, á D. Francisco Muñiz Prada: para una Ración de la catedral de Ibiza, vacante por promoción de D. Bartolomé</t>
  </si>
  <si>
    <t>Muñoz de Toro, Blas</t>
  </si>
  <si>
    <t>Blas Muñoz de Toro</t>
  </si>
  <si>
    <t>y D. Benito Barraguer: en el de España á D. Josef Cardona y Don Antonio Chicheri: en el de Toledo á D. Blas Muñoz de Toro y D. Angel Montes y Ordoñez : en el de Mallorca á D. Juan Francisco Suarez de Arango y D. Juan Wenceslao Henriquez: en el de León á D. Manuel Rodríguez Bonell: en el de Irlanda á D. F</t>
  </si>
  <si>
    <t>Muñoz Nadales, Dionisio</t>
  </si>
  <si>
    <t>Dionisio Muñoz Nadales</t>
  </si>
  <si>
    <t>na Canongía de la misma Iglesia, vacante por muerte de D» Joaquín Catani, á D.- Dionisio Muñoz Nadales, Racionero de dicha Iglesia; y para una Ración de la propia Catedral, vacante por fallecimiento de 0. Antonio Oliver, á D. Narciso Croke Sánchez Barriga: para una Canongía de la de Salamanca</t>
  </si>
  <si>
    <t>Muñoz, Agustin</t>
  </si>
  <si>
    <t>Agustin Muñoz</t>
  </si>
  <si>
    <t>141-22 Agustin Muñoz................... Pela-Fustán.........-......... 141-25 Mateo Colmena.................... Uña................ 141-25 Josef Matasan..................</t>
  </si>
  <si>
    <t>Muñoz, Manuel</t>
  </si>
  <si>
    <t>Manuel Muñoz</t>
  </si>
  <si>
    <t>; de Subteniente de granaderos al de fusileros D. Antonio Luis Aleado; de Subteniente de compañía á D. Manuel Muñoz, agregado en esta clase al expresado batallón, y de Subtenientes de bandera al Sargento D. Juan Josef López, y al Cadete D. Josef de Santa y Buci: en el cuerpo veterano de infante</t>
  </si>
  <si>
    <t>. El dia 24 de Octubre último falleció en esta Corte, de edad de 70 años, 9 meses y 24 dias, el Sr. D. Manuel Muñoz, Consejero de Capa y Espada del Real y Supremo Consejo de Hacienda: empezó á servir á S. M. el año de 1783» con el encargo de Cónsul en Rúan de Francia, habiendo llenado anteriorm</t>
  </si>
  <si>
    <t>Muñoz, Manuel Cayetano</t>
  </si>
  <si>
    <t>Manuel Cayetano Muñoz</t>
  </si>
  <si>
    <t>D. Agustín de Ayestaran y Landa;, Obispo de aquella diócesis , y asistentes los I-lustrísimos Sres. D. Manuel Cayetano Muñoz, Obispo de Licópolis , y auxiliar del arzobispado de Sevilla, y D. Josef Vicente de la Madrid, Obispo de Málaga , y habiendo sido su. padrino el limo. Cabildo eclesiástico de la c</t>
  </si>
  <si>
    <t>Murat, General</t>
  </si>
  <si>
    <t>General Murat</t>
  </si>
  <si>
    <t>ti7 Parts 20 de Febrero, El primer Cónsul ha nombrado al General Murat comandante de las tropas de la primera división y de la guarnición de Paris con título de Gobernador de la plaza, y ai General Mortier, que manda el exército de Hannóver, trno de</t>
  </si>
  <si>
    <t>ra el gobierno trances. El primer Cónsul permanecerá todo el verano en St. Cloud, según se dice. El General Murat, Gobernador de París, ha recomendado en la orden del dia á los Ayudantes y Oficiales de la guarnición que procuren</t>
  </si>
  <si>
    <t>io imperial----- El Condestable presentó á jurar á los Coroneles-generales Avoust y Bessleres, y al General Murat, Gobernador de París. También trae el Monitor un artículo que dice así: Carta de S. M. I. &amp; los Cónsules Cambaceres y Lebrun. Ciudadano Cónsul Cambaceres: vuestro título va á muda</t>
  </si>
  <si>
    <t>Murat, Mariscal</t>
  </si>
  <si>
    <t>Mariscal Murat</t>
  </si>
  <si>
    <t>bir. El Vice-Presidente viaja incógnito. Parts 26 de Noviembre. Hoy, á las 12, se ha transferido el Mariscal Murat á las Casas Consistoriales de esta capital, para hacer confirmar su patente de nombramiento al Gobierno de París. Iba á caballo, seguido de una numerosa y brillante comitiva. Como</t>
  </si>
  <si>
    <t>Murray</t>
  </si>
  <si>
    <t>adelfta y de Alexandría en el estado de Virginia, desde ei 6 de Setiembre último, hagan quaréntena. Mr. Murray, Vice-Cónsul que fue en la isla de la Madera, y que actualmente se halla en Lisboa, escribe á una casa de esta ciudad, que en la noche del 9 de Octubre un torrente, precipitándose</t>
  </si>
  <si>
    <t>Murray, Coronel</t>
  </si>
  <si>
    <t>Coronel Murray</t>
  </si>
  <si>
    <t>igiéndose hacia Poonah, desde donde debia conducir sus tropas contra Holkar, al mismo tiempo que el Coronel Murray, Comandante del Guzarate, tenia orden de marchar en gran fuerza hacia el territorio de Holkar, para obrar de acuerdo con el exército de Wellesley. Se esperaba que dichas operacion</t>
  </si>
  <si>
    <t>iento durante la ausencia de nuestra esquadra. . / . Corren voces de que las tropas mandadas por el Coronel Murray contra Holkar han padecido un descalabro ánte« que se le juntase el • exército del General Wellesley. La semana pasada se dixo que nuestras tropas habían conseguido una victoria e</t>
  </si>
  <si>
    <t>Myers, General</t>
  </si>
  <si>
    <t>General Myers</t>
  </si>
  <si>
    <t>egún cartas de la Barbada, hace algún tiempo se dispone allí una expedición secreta. La llegada del General Myers con un cuerpo de tropas, ha hecho pensar á algunos militares inteligentes de aquella isla, que se proyectaba acometer la Martinica, largo tiempo hace bloqueada por el Conmodoro Ho</t>
  </si>
  <si>
    <t>Napper-Tandy, General</t>
  </si>
  <si>
    <t>General Napper-Tandy</t>
  </si>
  <si>
    <t>servicios- ú la Co mpañía , que Su quebrantada salud no le permite continuar. Mr. Tandy , hijo del General Napper-Tandy, muerto^ al servicio^ de Francia , que lia estado mucho tiempo preso por orden del Gobierno de Irlanda, ha sido puesto en libertad. El 16 de este mes en Lewes ha señalado el termó</t>
  </si>
  <si>
    <t>Narbona de Lara, Juan</t>
  </si>
  <si>
    <t>Juan Narbona de Lara</t>
  </si>
  <si>
    <t>, graduado de Capitán, D. Juan Grassa : Tenencia en el de Algarbc al Capitán D. Juan Narbona de Lara, Teniente agregado al de Alcántara ; y empleos de Portaestandarte en los del Rey é Infante á los Cadetes D. Antonio Cortés y O. Rafael Valdes. En América. El Rey se ha servido conferir la T</t>
  </si>
  <si>
    <t>Narciso Croke Sánchez Barriga</t>
  </si>
  <si>
    <t>Iglesia; y para una Ración de la propia Catedral, vacante por fallecimiento de 0. Antonio Oliver, á D. Narciso Croke Sánchez Barriga: para una Canongía de la de Salamanca, vacante por muerte de 0. Nicolás Martin Laso , á 0. Josef Sánchez Velasco: para la Rabión» «jue hste obtiene en ella, á D. Francisco Xavier</t>
  </si>
  <si>
    <t>Narciso González</t>
  </si>
  <si>
    <t>úmero y coro de aquella santa iglesia, para la primera á D. Domingo de Herrera, y para la segunda á Don Narciso González. ' £1 Rey se ha servido conceder Compañía en el regimiento de infan</t>
  </si>
  <si>
    <t>Narciso Guerra</t>
  </si>
  <si>
    <t>o, de granaderos, graduado de Teniente-, D. Josef Loísel, D. Antonio Caballero, D. Francisco Gatro, D. Narciso Guerra, Don Miguel Cabrera y D. Antonio Hoyos: á Subteniente de granaderos al de fusileros D.JoserArnau: á Subtenientes de Compañía á los agregados Don Joaquín Ruj as,D. Francisco Gonzál</t>
  </si>
  <si>
    <t>Narciso Milano, Claudio</t>
  </si>
  <si>
    <t>Claudio Narciso Milano</t>
  </si>
  <si>
    <t>vido nombrar para el Deanato, primera silla de la catedral de Segorve, vacante por fallecimiento de D. Claudio Narciso Milano, á D. Juan Bautista García, electo Chantre y Canónigo de la catedral de Sigiienza: para una Comensalía de la colegial de Sta. Ana de la ciudad de Barcelona, afecta al oficio de So</t>
  </si>
  <si>
    <t>Nava, Gaspar María</t>
  </si>
  <si>
    <t>Gaspar María Nava</t>
  </si>
  <si>
    <t>de Castillo, frente á San Felipe el Real, y de Gómez Fuentenebro, calle de las Carretas. Poesías de D. Gaspar María Nava, Conde de Noroña, que contienen anacreónticas, odas, madrigales, canciones, el poema filosófico de la muerte, y la celebrada oda de la paz entre España y Francia: dos tomos en 8.°</t>
  </si>
  <si>
    <t>Navamuel, Félix</t>
  </si>
  <si>
    <t>Félix Navamuel</t>
  </si>
  <si>
    <t>América. En el regimiento de dragones de México se ha servido el Rey promover á Capitán al Ayudante D. Félix Navamuel; á Ayudante al Teniente D. Fernando Antoneli; á Teniente al Alférez D. Josef Miguel; á Alférez al Portaguión D. Félix Malo, y á Portaguión al Cadete D. Francisco Herrera. * La ciu</t>
  </si>
  <si>
    <t>Navarro Sangran, Joaquín</t>
  </si>
  <si>
    <t>Joaquín Navarro Sangran</t>
  </si>
  <si>
    <t>o promover á Gefe de Brigada del Real Cuerpo de Artillería al Capitán primero, graduado de Coronel, D. Joaquín Navarro Sangran.</t>
  </si>
  <si>
    <t>Navarro y Egúi, Felipe</t>
  </si>
  <si>
    <t>Felipe Navarro y Egúi</t>
  </si>
  <si>
    <t>Gabriel de la Rocha: Tenientes de granaderos del mismo, y los de Toro yTruxiiio, á los de fusileros D. Felipe Navarro y Egúi, Di Joaquín Carrera y D. Antonio Bueno de Cevailos : Teniente de fusileros del de Bujalance al Subteniente de granaderos D. Cristóbal Villalobos: Subtenientes de granaderos de los</t>
  </si>
  <si>
    <t>Navarro, Antonio María</t>
  </si>
  <si>
    <t>Antonio María Navarro</t>
  </si>
  <si>
    <t>. Miguel Chacoleti , D. Josef Moreno y D. Tomas González, y en los de Zamora y Málaga á los Cadetes Don Antonio María Navarro y D. Pedro Salgado. S. M. se ha servido promover á Subteniente de bandera en el segundo batallón de infantería ligera de Voluntarios de Aragón al Cadete Don Fermín Zueco. En el Real c</t>
  </si>
  <si>
    <t>Navarro, Domingo</t>
  </si>
  <si>
    <t>Domingo Navarro</t>
  </si>
  <si>
    <t>egimientos de infantería de Córdoba, Zaragoza y Jaén á los Subtenientes D. Matías Carlos de Montes, D. Domingo Navarro , D. Ignacio Joaquín Cavero y D. Manuel Ayenza, ios tres últimos de granaderos; y Subtenencias de bandera en el de Córdoba al Cadete D. Francisco Melgarejo, y en el de Zaragoza al</t>
  </si>
  <si>
    <t>Navarro, Francisco Antonio</t>
  </si>
  <si>
    <t>Francisco Antonio Navarro</t>
  </si>
  <si>
    <t>ue falleció en dicha ciudad el 6 de Marzo de dicho año , hija de D. Pedro josef Navarro, y nieta de D. Francisco Antonio Navarro, Mayor General'que fué de la referida ciudad , viuda de D. Daniel Segismundo deHoke, Capitán en el regimiento de SdTTonia Gota, infáníería Walona, ai servicio de la casa de Austri</t>
  </si>
  <si>
    <t>lleció en dicha ciudad el o de Marzo-de .dicho, año, hija de D. Pedro- Jóséf de Navarro, y nieta"de D. Francisco Antonio Navarro, Mayor General que fué al servicio de la casa de Austria, y Gobernador de Ja expresada ciudad de Malinas, viuda de D. Daniel Segismundo de Hake,--Capitán en el regimiepto dé Saxon</t>
  </si>
  <si>
    <t>Navarro, Francisco Xavier</t>
  </si>
  <si>
    <t>Francisco Xavier Navarro</t>
  </si>
  <si>
    <t>huérfanos de S. Vicente, Ntra. Sra. de la Misericordia, y fundaciones de D. Juan Bautista Mas, y de Don Francisco Xavier Navarro, y Doña María Caudevíla , baxo las mismas condiciones y examen.__ Para estimular á la buena educación en otras poblaciones de este Rcyno, se darán 6 premios de jo rs., 4 para niño</t>
  </si>
  <si>
    <t>Navarro, Juan</t>
  </si>
  <si>
    <t>Juan Navarro</t>
  </si>
  <si>
    <t>a Mina del Collado de la Plata: para una Ración de la catedral de Canaria, vacante por promoción de D. Juan Navarro á la Canóngía Magistral de ella , á D. V icente Sánchez Ramos, Cura de la parroquial de la villa de Aquinez , en aquella diócesis: para otra de la de Santander , vacante por falle</t>
  </si>
  <si>
    <t>. á Coronel del de Soria al Teniente Coronel de infantería y Capitán de granaderos del mismo cuerpo D. Juan Navarro: á Sargento mayor del de Betanzos al Teniente Coronel D. Josef María de Santocildes , Capitán del regimiento de infantería de Murcia: á Capitanes de fusileros en los de Valladolid</t>
  </si>
  <si>
    <t>Navarro, Manuel</t>
  </si>
  <si>
    <t>Manuel Navarro</t>
  </si>
  <si>
    <t>ho de la imprenta Real; en el Real sitio de Aranjuez en la tienda del Rubio , y en Cádiz en casa de D. Manuel Navarro. Contiene en la parte política: noticias de Egipto y de la Gran Bretaña; extracto de la causa de Roberto Emmet; nota del Ministro de Bohemia, y proclama del consistorio de Ratisbo</t>
  </si>
  <si>
    <t>casa de D. Manuel Navarro. Contiene énTar parte, política: idea del estado de la Europa en el año de 1803:: noticias de la; Gran Bretaña:, de Alemania y de la República italiana: carta del Land-Ammán de.-</t>
  </si>
  <si>
    <t>cho de la imprenta Real; en el Real sitio de Aranjuez en la tienda del Rubio, y en Cádiz en casa de D. Manuel Navarro. Contiene en la parte política : noticiaste Turquía : el firman del GranSeííor á las Regencias del Mediterráneo-sobre que respeten la bandera prusiana: extracto del ukase del Empe</t>
  </si>
  <si>
    <t>cho de la imprenta Real : en ei Real sitio de Aranjuez en la rienda del Rubio, v en Cádiz encasa de D. Manuel Navarro. Contiene en la parte política: noticias de Inglaterra, y el extracto de la correspondencia del Príncipe de Gales con el Rev , el Duque de York y el primer Ministro: noticias de l</t>
  </si>
  <si>
    <t>cho de la imprenta Real; en el Real sitio de Aranjuez en la tienda del Rubio, y en Cádiz en casa de D. Manuel Navarro. Contiene en la parte política: noticias de Turquía , de la República de las Siete-Islas y de la Gran Bretaña : el reglamento del Rey de Prusia sobre la inoculación de la vacuna :</t>
  </si>
  <si>
    <t>o de la imprenta Real*, en^el Real sitio de Aran juez en la tienda del Rubio, y en Cádiz en casa de D. Manuel Navarro. Contiene en la parte política: noticias de Turquía: de la constitución de la República de las Siete Islas, y de Inglaterra: el conservatorio imperial relativo á la nobleza inmedi</t>
  </si>
  <si>
    <t>cho de la imprenta Real: en el Real sitio de Aranjuez en la tienda dél Rubio,.y en Cádiz en casa de D. Manuel Navarro. Contiene en Já parte política: noticias dé Rusia y de Inglaterra *. el estado de la orden Eqiiestre de Alemania: el plan de gastos de este año de Holanda: noticias de Suiza: sigu</t>
  </si>
  <si>
    <t>la imprenta Real: en el Real sitio de Apanjuez en la. tienda, del Rut&gt;io, y en Cá-, diz en casa de D. Manuel Navarro. El dia 28 de Mayorúltimp se echó de méñós ,un. vale-dinero dé 1.50 pesos , de Setiembre, num. 178,441 con'el endoso éii blancodesde Palacio á los Reales ponséjos y de estos á la</t>
  </si>
  <si>
    <t>o dé. la imprenta Real: en eí Real sitio- de Aranjuez en la tienda del Rubio, y en Cádiz en casa de D. Manuel Navarro. ‘ ' ■ '• J ' Viage literario á las iglesias de Españailustrado coñ algunas observaciones, y con apéndices de varios documentos inéditos: torno i.° y 2.0 Estr viage, emprendido en</t>
  </si>
  <si>
    <t>Junio, núm. xii, s* hallará desde mañana en el despacho de la imprenta Real: y en Cádiz en casa de D. Manuel Navarro. Instrucción destinada á las tropas ligeras de infantería y caballería , y para Jos oficiales que sirven en los puestos avanzados, recopilada de la que Federico n dió á sus oficia</t>
  </si>
  <si>
    <t>e la imprenta Real: en el Real sitio de S. Ildefonso en la tienda del Rubio , y en Cádiz en casa de D. Manuel Navarro.^ Tratado de paz, amistad, navegación, comercio y pesca entre S. M. Católica y, S. M. Marroquí, concluido y firmado en Mequinez á i.° de Marzo de 1799: i'4 «. Tratado de paz con P</t>
  </si>
  <si>
    <t>de la imprenta Real: en el Real sitio de S. Ildefonso en la tienda del Rubio; y en Cádiz en casa de D. Manuel Navarro. mmm— ■ — ■■■'■ «■■■' ■■ ■■ 1 1 ... ........... ' - - ■ ■■ , *...........................' Por providencia del Sr. D. Torquato Antonio Collado, Caballero de la Reat y distinguida</t>
  </si>
  <si>
    <t>de la imprenta Real: en el Real sitio de S. Ildefonso en la tienda del Rubio; y en Cádiz en casa de D. Manuel Navarro. Por la Subdelegacion general de bienes mostrencos, vacantes y abintestatos se vende á pública subasta una casa, declarada vacante, y aplicada al Real fisco y cámara, sita en la c</t>
  </si>
  <si>
    <t>hode la imprenta Real: en el Real sitio de S. Lorenzo en la tienda del Rubio; y en Cádiz en casa de D. Manuel Navarro. Por providencia del Sr. D. Diego Gil Fernandez, del Consejo de S. M., Alcalde en su Real Casa y Corte, de 24 de Setiembre, se han mandado sacar á pública subasta por término de 3</t>
  </si>
  <si>
    <t>o de la imprenta Real: en el Reai fitio de S. Lorenzo en la tienda del Rubio; y en Cádiz en casa de D. Manuel Navarro. • Anales de ciencias naturales, núm. 21 , y último del tomo 7.0: contiene e! ensayo de un sistema nuevo de mineralogía, escrito en «fieman por D. Josef Brunner, Inspector de Mina</t>
  </si>
  <si>
    <t>o de la Imprenta Real: en el Real Sitio dé S. Lorenzo en la tienda del Rubio; y en Cádiz en casa de D. Manuel Navarro. 1 Quinta Vista del patio de los Reyes en el Real Monasterio de S. Lorenzo del Escorial, mirado desde el pórtico. Se hallará en la Calcografía de S. M., establecida en la Imprenta</t>
  </si>
  <si>
    <t>de la Imprenta Real: en el Real Sitio de S. Lorenzo en la tienda del Rubio ; y en Cádiz en casa de D. Manuel Navarro. Deseosa la Real Dirección de Abastos de Madrid de conciliar los intereses de los pueblos y particulares dueños de montes, que esten en disposición de carbonearse con el surtido d</t>
  </si>
  <si>
    <t>de la Imprenta Real: en el Real Sitio de S. Lorenzo en la tienda del Rubio ; y en Cádiz en casa de D. Manuel Navarro. Quien quisiere hacer postura á una granja ó cortijo, intitulada el Campillo, sita en término de la vrlla despoblada de Valtierra, agregada á la de Arganda del R*y de esta provinc</t>
  </si>
  <si>
    <t>Necker</t>
  </si>
  <si>
    <t>4* 9 podrán mudar de domicilio, pena de ser presos &amp;c. El dia jo de Marzo falleció en Ginebra Mr. Necker; y es difícil imaginarse el sentimiento que ha causado su muerte en aquella ciudad. Dexó dispuesto que se trasladase su cadáver á su tierra de Copet, lo que se executó el 11 de es</t>
  </si>
  <si>
    <t>e de la lista civil; Mr. de Ségur,gran Maestro de ceremonias,y Mr. Duroc, gran Mariscal de palacio. Mr. Necker lia dexado en su testamento para la inclusa de esta capital 3® pesetas, que ha remitido Madama de Stael, su hija. Mr. Livingston, Ministro plenipotenciario de los Estados-Unidos,</t>
  </si>
  <si>
    <t>Negréte, Pedro</t>
  </si>
  <si>
    <t>Pedro Negréte</t>
  </si>
  <si>
    <t>ol, Dv x\ntonio Magadan, D. Norberto de Mella, D. Juan de Bnstamante, D. Joaquin del Pollo Sagasti, D. Pedro Negréte, D. Manuel Abreü , D. Ignacio del Valle, D. Josef de Santiago, D'. Joaquin Fernandez, D. Bernardo Meruendano, D. Josef del Hoyo,D. Francisco de Murías, D. Mariano Leones, D. Josef</t>
  </si>
  <si>
    <t>Negrí, Luis</t>
  </si>
  <si>
    <t>Luis Negrí</t>
  </si>
  <si>
    <t>ampas.__ Dibuxo. i.°: Don Serapio de la Hormaza : Principios del diseño en francés , en folio. 2.0: D. Luis Negrí*. Principios de dibuxo, en folio.__ Ademas de estos premios ha tenido á bien S. M. mandar que los caballeros Seminaristas que han merecido los primeros premios, recibiesen de mano</t>
  </si>
  <si>
    <t>Negrí, Manuel</t>
  </si>
  <si>
    <t>Manuel Negrí</t>
  </si>
  <si>
    <t>rimeras letras.Primer premio: D. Ignacio Quadrado: Torio, Arte grande de escribir.. Segundo premio: D. Manuel Negrí: Torio,. Compendio, Ortagrafía castellana ; Mendoza , Guerras de Granada..^. Primeras letras. i.°: D. Francisco Cuadrado: Torio, Arte grande de escribir. 2.0: D. Fernando Cañavate</t>
  </si>
  <si>
    <t>Negron, Luis</t>
  </si>
  <si>
    <t>Luis Negron</t>
  </si>
  <si>
    <t>osa , D. Antonio Miralles , D. Josef Chacón y D. Pedro Orduña; á Capitanes segundos á los Tenientes D. Luis Negron, D. Francisco del Rey y D. Miguel Baños López; y á Tenientes á ios Subtenientes D. Manuel Autran y D. Josef Almela. En el Regimiento de caballería de línea del Rey se ha servido S</t>
  </si>
  <si>
    <t>Neison, Lord</t>
  </si>
  <si>
    <t>Lord Neison</t>
  </si>
  <si>
    <t>presentan fuera del puerto, luego que nuestros navios se alejan de la costa. Anade la carta que el Lord Neison se halla tan enfermo, que se cree que se restituirá muy pronto á Inglaterra en la. fragata Medusa. Se sospecha, dicen las mismas noticias, que los Rusos desembarquen un exército e</t>
  </si>
  <si>
    <t>Nelson, Almirante</t>
  </si>
  <si>
    <t>Almirante Nelson</t>
  </si>
  <si>
    <t>tánicas ha hecho presente que se apoderará de todos los barcos destinados á Genova. La esquadra del Almirante Nelson se mantiene siempre en las aguas de Tolón, y algunas de sus fragatas se presentan de quando en quando á vista de este puerto. De Trípoli escriben, que desde 11 salida del Conmodor</t>
  </si>
  <si>
    <t>Suiza no se admiten judíos. TTALTAGínova 24 de Diciembre. Escriben de Cagliari que la esquadra del Almirante Nelson , compuesta de 5 navios, 2 fragatas y un brick, se había mantenido algún tiempo en la península de Santa Margarita5 pero que se fea hecho á ia vela para otro destino. Se sabe por</t>
  </si>
  <si>
    <t>víveres, hierro, y otros artículos para la guarnición y vecindario de Malta, y para la esquadra del Almirante Nelson y demas buques ingleses, que se hallan actualmente en el Mediterráneo. Ha llegado dos dias hace á Bujukdere un brick ruso, en el qual viene un General con su familia y numerosa comitiv</t>
  </si>
  <si>
    <t>agatas y un navio, que entráron por el paso grande, con intención de atacarlas en su fondeadero. Ei Almirante Nelson se acercó con 4 navios al paso pequeño, con intención de cortar la retirada á nuestras fragatas. Luego que vi esta maniobra , hice señal de que se previniese toda la esqúadra; lo</t>
  </si>
  <si>
    <t>s de Medina y de la Meca. AFRICA. Argel jo de Julio. Acaba de llegar á nuestro puerto un agente del Almirante Nelson, á bordo de una fragata inglesa, á la qual no se ha hecho el saludo acostumbrado. Esta es la tercera vez que los Ingleses sufren semejante humillación de parte del Dey. En la prim</t>
  </si>
  <si>
    <t>todos los gastos. St-Tropez 2 de Setiembre. Ayer anclo una división muy numerosa de la esquadra del Almirante Nelson enfrente del Cabo Talliat, y al punto destaco unos buques ligeros para que se apoderasen de las embarcaciones mercantes que se hallaban protegidas por la artillería de la costa. Lue</t>
  </si>
  <si>
    <t>Nelson, Lord</t>
  </si>
  <si>
    <t>Lord Nelson</t>
  </si>
  <si>
    <t>4 &gt;'. * ,' ( 7 • hi .-Léndrés iG de Neviembu.* • - • Se han recibido en el Almirantazgo pliegos del Lord Nelson, en que da parte de algunas presas hechas en el Mediterráneo. Estando para espirar' el término de nuestro tratado de comercio cón América, se ‘suscifaU varias discusiones importan</t>
  </si>
  <si>
    <t>os varones á los 25 años de edad, y las hembras á los 21. Se han recibido cartas de la esquadra del Lord Nelson, hasta el 4 de Diciembre, que dicen continuaba bloqueando el puerto de Tolon.---Igualmente se han recibido pliegos de Gibraltar, del 19 del pasado, que avisan del buen estado de l</t>
  </si>
  <si>
    <t>ra , de donde se disponía á partir para Petersburgo. Se han recibido en el Almirantazgo pliegos del Lord Nelson. Parece que la esquadra de Tolon había salido del puerto , adonde tuvo que retirarse por haberla dado caza nuestra esquadra dos dias seguidos. JSí Almirante Cornwallis ha sido ref</t>
  </si>
  <si>
    <t>ñones, ha llegado á Porstmouth, de Ñapóles, de donde salió el 7 de Mayo: el 31 del mismo mes dexó á Lord Nelson delante de Tolon: el 18 de Junio salió de Gibraltar , y el 23 de Cádiz. Han venido con él 5 navios mercantes. La esquadra de Nelson se componía de 9 navios de línea, y se haflaba en p</t>
  </si>
  <si>
    <t>ymouth. El 14 de este mes ei navio Emboscada salió de Gibraltar para juntar* se con la esquadra del Lord Nelson con otros 5 buques cargados de bastimentos, de que tenia grande falta desde la pérdida del navio Indostao» que se incendió y pereció en el Mediterráneo en el mes de Abril. Las últ</t>
  </si>
  <si>
    <t>con su esposa y familia. Un Oficial á bordo de nuestra esquadra en el Mediterráneo, mandada por el Lord Nelson, escribe lo que sigue*. ,,Por segunda vez creíamos ver de cerca los navios de Bonaparte en Tolon ; y por segunda vez han sido engañadas nuestras esperanzas. Cansado nuestro Coman%</t>
  </si>
  <si>
    <t>sta alguna. Una carta de la esquadra del Mediterráneo , traída por el navio Agincourt', dice que el Lord Nelson está delante de -Tolón con 11 navios de línea, y que, los Franceses tienen; 8 prontos á hacerse á la vela, y que se presentan fuera del puerto, luego que nuestros navios se alejan d</t>
  </si>
  <si>
    <t>ha puesto su pabellón en el navio Gloria, y sucederá en el mando de la esquadra.del Mediterráneo á Lord Nelson, quien ha pedido permiso para retirarse á su casa, con motivo de su quebrantada salud. L.a corbeta Dispatch ha apresado 4 buques menores Franceses , que costeaban desde: Oduertie</t>
  </si>
  <si>
    <t>Nelsonen, Lord</t>
  </si>
  <si>
    <t>Lord Nelsonen</t>
  </si>
  <si>
    <t>n los nombres de los Oficiales encargados de los brulotes. La misma Gazeta habla de los pliegos del Lord Nelsonen que da cuenta de la acción brillante del Teniente Thompson del Narciso , y los Tenientes Hyde Parker, Lumley y OgleMoore con las lanchas del Narciso, Sea-Ho,rse y Maidstone, en qu</t>
  </si>
  <si>
    <t>Nemnicle</t>
  </si>
  <si>
    <t>México, escribía que iba á embarcarse para los Estados-Unidos, donde se detendría algunos meses.__ Mr. Nemnicle, el primero que ha dado la cruel noticia de haber falle cido el Barón de Humboldt, ha confesado haberla copiado de un periódico ingles ( Núhulsan-s- Journal of natural philosophy</t>
  </si>
  <si>
    <t>ompañan.” Con estas nctícias \ tan recientes como.verídicas &gt; queda .desmentida la¿ que nos anunció Mr. Nemnicle, y que han copiado casi todos los perió— dicos de Europa. El dia.20 del corriente mes de Julio dió foirdo^eh el puerto de Vigo,-,</t>
  </si>
  <si>
    <t>Neófilo Miranda</t>
  </si>
  <si>
    <t>no: plan del nuevo colegio médico-browttiano, que se establece eti una cofradía,de ciegos: carta de D. Neófilo Miranda á D. Hipólito Gutierre?, dándole cuenta de este proyecto. Publícala el Dr, D. Francisco Llansoj, primer, Médico de la villa áe Alcira, socio íntimo de la Real Academia de Medicina</t>
  </si>
  <si>
    <t>Neranzi</t>
  </si>
  <si>
    <t>o i,-confiando, su execucion ai cincel del célebre escultor.íCanova. Nuestro Enviado extraordinario Mr. Neranzi cerca de S. M. I. de Rusia , está encargado: de presentarle el decreto, en que el pueblo j.97 nico-testifica ai1 múndo-su*econpcimientQ,:^;Ppr. • otr^o.decretp se manda'jofnecer u</t>
  </si>
  <si>
    <t>Neto, Miguel</t>
  </si>
  <si>
    <t>Miguel Neto</t>
  </si>
  <si>
    <t>aestro de Ceremonias de la Catedral de Menorca, vacante por fallecimiento de D. Pedro Villalonga, á D. Miguel Neto. En el Regimiento de infantería de Córdoba se ha servido S. M. promover á Ayudante al Teniente, graduado de Capitán , D. Francisco Wanherek, y á Teniente al Subteniente de granade</t>
  </si>
  <si>
    <t>Neuman, Matías</t>
  </si>
  <si>
    <t>Matías Neuman</t>
  </si>
  <si>
    <t>: en el ambulante de Ruttimán al Cadete D. Santos Cremona: en el de Reding á los Sargentos primeros D. Matías Neuman y D. Carlos Sinner,y á ios Cadetes D. Pedro Jayme Rey y D. Josef Hetfleisch: en el de Bettschart al Cadete D. Francisco Ceeberg: en el de Traxler al Sargento primero de granaderos D.</t>
  </si>
  <si>
    <t>NeUon, Lord</t>
  </si>
  <si>
    <t>Lord NeUon</t>
  </si>
  <si>
    <t>l Almirante Duckworth. En el mes de Abril ultimo la ciudad de Londres decreto un voto de gracias al Lord NeUon por su perseverancia en el bloqueo de Tolon.__ Ultimamente se ha publicado la respuesta de dicho Almirante, con fecha de i.° de Agosto, á bordo de la Victoria. Después de dar grac</t>
  </si>
  <si>
    <t>Ney, General</t>
  </si>
  <si>
    <t>General Ney</t>
  </si>
  <si>
    <t>ís t$ de Diciembre. t El General Vial , ex-Ministro de la República francesa en Malta, reemplaza at General Ney en Suiza. " ( La biblioteca nacional se ha enriquecido con un libro muy raroyel qual no se encuentra anunciado en ningún catálogo de las bibliotecas que se han puesto de venta en Fr</t>
  </si>
  <si>
    <t>le el cange de las ratificaciones de los tratados con la Francia, y adjunta una carta de oficio del General Ney al Land-Amman, en la que este Ministro le previene que la reclamación de la Dieta helvética, relativa al restablecimiento de las pensiones en favor de los antiguos oficiales suizo</t>
  </si>
  <si>
    <t>mosas contestaciones que se habían suscitado en el cantón de (Lucerna, se hallan ya apaciguadas. El General Ney, antes de su partida para Francia, pasó un oficio al Consejo mayor lucernés, desaprobando las providencias tomadas en este cantón, para quitar al Consejo menor la facultad que le</t>
  </si>
  <si>
    <t>Niderberger, Melchor</t>
  </si>
  <si>
    <t>Melchor Niderberger</t>
  </si>
  <si>
    <t>el de Traxler Capitanes segundos al Ayudante, graduado de Capitán i D. Juan Ebneter , y al Teniente D. Melchor Niderberger; Teniente de granaderos al de fusileros D. Josef Niderberger, y Teniente de fusileros al Subteniente de granaderos D. Cárlos Peyer. S. M. se ha servido promover á Capitán segundo</t>
  </si>
  <si>
    <t>Nieto, Henrique</t>
  </si>
  <si>
    <t>Henrique Nieto</t>
  </si>
  <si>
    <t>oso, que compitió al primer premio, á Manuel Camhronero, Gregorio Varona y Pedro Vidal.----En la de D. Henrique Nieto se distribuyó el primer premio á Vicente Crespo, Angel Berzosa , de edad de 7 años', á Juan González y Joaquín Fernandez. El segundo premio se concedió á Benito Moreno , Josef Jov</t>
  </si>
  <si>
    <t>Nieto, Luis</t>
  </si>
  <si>
    <t>Luis Nieto</t>
  </si>
  <si>
    <t>D. Josef Cabeza. Por premio de segunda clase se dio el tomo del mismo Duhamel sobre las siembras á D. Luis Nieto; y el de tercera clase , que consistía en el tratado de la huerta de Boutelou, se distribuyó á Don Mariano Santander, D. Josef Romo, D. Tomas Pereda y D. Antonio Corde ro. En 1a e</t>
  </si>
  <si>
    <t>o de primera ciase el Dr. D. Francisco Xavier Obregorr, y el de segunda , que no pudo adjudicarse á D. Luis Nieto por haberle obtenido antes, sin embargo de que ha hecho progresos, y da las mejores esperanzas de un buen agricultor , se dio á D. Mariano de Sautander y Aivarez, y el tercero á D</t>
  </si>
  <si>
    <t>No, General</t>
  </si>
  <si>
    <t>General No</t>
  </si>
  <si>
    <t>he saldrá para Qstende.. París if de Enero* El Monitor cuenta que.ha llegadp .de Londres á París eL General No— gues, que fue tomado prisionero en Sta. Lucía* y que su mansión en Inglaterra le ha proporcionado conocer el estado actual.de aquella nación,. Según el Monitor se desea allí con</t>
  </si>
  <si>
    <t>Noguéyra, Pedro</t>
  </si>
  <si>
    <t>Pedro Noguéyra</t>
  </si>
  <si>
    <t>ifestaron algunos? Otros* jovenes en las mismas 'ópdsicfonés, y Señaladamente X): 'Vicente Guardia, D. Pedro Noguéyra y D. Pedro Fernandez Castro , les consignó; lienta respectivamente un premio de 25 pesos á cada uno ¿ quedando cotí la mas lisonjera Satisfacción de ver realizados sus obj^téSw o o ¡</t>
  </si>
  <si>
    <t>Norberto de Mella</t>
  </si>
  <si>
    <t>D. Joaquin Sánchez, D. Rafael de Lobo, D. Francisco Leceta, D. Manuel Ocarol, Dv x\ntonio Magadan, D. Norberto de Mella, D. Juan de Bnstamante, D. Joaquin del Pollo Sagasti, D. Pedro Negréte, D. Manuel Abreü , D. Ignacio del Valle, D. Josef de Santiago, D'. Joaquin Fernandez, D. Bernardo Meruendano</t>
  </si>
  <si>
    <t>Norby, Coronel</t>
  </si>
  <si>
    <t>Coronel Norby</t>
  </si>
  <si>
    <t>nuestra corte; pero ignoramos el dia de su entrada en esta capitab Pía vuelto ya de la Pomerania el Coronel Norby. DINAMARCA. Copenhague 14 de Julio. Llegó aquí antes de ayer S. A. S. el Duque de Augustemburgo- para presidir el Consejo de Estado durante la ausencia, del Príncipe Real y del Pr</t>
  </si>
  <si>
    <t>Noriega de Bada, Diego</t>
  </si>
  <si>
    <t>Diego Noriega de Bada</t>
  </si>
  <si>
    <t>; y para el Beneficio simple de Santa María de Anayo, en la Diócesi de Oviedo, por fallecimiento de D. Diego Noriega de Bada, á D. Juan Francisco Escanden y Noriega, Cura de Santa María de Mían, en la misma Diócesi, con la obligación de mantener un Sacerdote Confesor de fixa residencia en aquella Parroq</t>
  </si>
  <si>
    <t>Norzagaray, Fernando</t>
  </si>
  <si>
    <t>Fernando Norzagaray</t>
  </si>
  <si>
    <t>ndro Pastor; y á Capitanes segundos á los Tenientes D. Isidoro García de Montejo, Don Juan Sociats, D. Fernando Norzagaray y D. Pedro Salazar. En América. Habiendo resuelto S. M. que con ,el batallón veterano de Sto. Domingo se forme el tercero del regimiento fixo de Puerto-í* Rico, se ha dignado proveer</t>
  </si>
  <si>
    <t>Notar, Pedro</t>
  </si>
  <si>
    <t>Pedro Notar</t>
  </si>
  <si>
    <t>e Azas, D. Josef Olózága y Travieso, D. Francisco Gazcon y Molina, D. Fernando Bilbao' y Xiinenez \ D. Pedro Notar bar tolo y Bolcgria, Dgíi Antonio González de Socueva, D. Francesco Chacón y valle, D. Gerónimo Obregon y Villa, D. Joaquín Tosquella y Monserrat, D. Jayme Fabregues y Santander ,</t>
  </si>
  <si>
    <t>Notario, Bartolomé</t>
  </si>
  <si>
    <t>Bartolomé Notario</t>
  </si>
  <si>
    <t>....... 141-25 Bartolomé Notario.............. Pela Fustán................... 141-25 Frandsco Galistco.............. Córdoba................... 141-25 Josef Mi lian..........</t>
  </si>
  <si>
    <t>Novales Ancostrena, Manuel</t>
  </si>
  <si>
    <t>Manuel Novales Ancostrena</t>
  </si>
  <si>
    <t>del pueblo de Fillaró, en el Corregimiento de Ambato, en la comprehension del obispado de Quito; á D. Manuel Novales Ancostrena , Dean que fué de Lugo; á Jos herederos de D. Joaquín de Lorza ; á los dé D. Pedro Libarona, y á los de Doña Mariana Mendez, vecina ..deQuito, para que en término de un año, peren</t>
  </si>
  <si>
    <t>Novarilzow</t>
  </si>
  <si>
    <t>porte. Esta esquadra se hará á la vela al primer viento favorable. RUSIA. .Petersburgo 24 de Abril. Mr. Novarilzow ha presentado á la Academia de ciencias de esta ciudad , de que es Presidente, una piedra que ha caído de la atmósfera cerca de CherKow. La Academia se propone hacer investigacion</t>
  </si>
  <si>
    <t>Novoa y Gayoso, Juan</t>
  </si>
  <si>
    <t>Juan Novoa y Gayoso</t>
  </si>
  <si>
    <t>on y Villa, D. Joaquín Tosquella y Monserrat, D. Jayme Fabregues y Santander , D. Antonio de Mella, D. Juan Novoa y Gayoso , D. Toribio Salcedo, D Francisco García Fiorez , D. Tomas Cervino, D, Josef Muller, D. Francisco Viana y Achucarro, D. Antonio Doral y Anuncibay. El Rey se ha servido nombrar Aud</t>
  </si>
  <si>
    <t>Novoa, Antonio</t>
  </si>
  <si>
    <t>Antonio Novoa</t>
  </si>
  <si>
    <t>niente D. Juan Manuel de Blas: Subtenencias de bandera en el de Sevilla al Cadete del Fixo de Ceuta D. Antonio Novoa: en el de Granada al Cadete D. Luis Martínez del Corro: en el de Valencia al Sargento primero de granaderos D. Pedro Galiano, y al Cadete D. Hilarión Rodríguez: en el de Hibernia</t>
  </si>
  <si>
    <t>Novosilzow</t>
  </si>
  <si>
    <t>icia, Príncipe Lapuchin, que forzosamente tiene otras atenciones, se informará de todo por medio de Mr. Novosilzow , que en atención á sus notorios conocimientos y talento está encargado de conferir con él sobre quanto se vaya disponiendo. ALEMANIA. Semlin 27 de Marzo. Los servios sublevados h</t>
  </si>
  <si>
    <t>Ntra, Princesa</t>
  </si>
  <si>
    <t>Princesa Ntra</t>
  </si>
  <si>
    <t>la mayor recomendación. (Se espera, la continuación.) Madrid 15 de Junio. Antes de ayer, dias de la Princesa Ntra. Sra., se vistió la corte de gala con uniforme ; y hubo besamanos general en el Real sitio de Aranjuez, siendo muy lucido y numeroso el concurso de Grandes, Diputados de los Reyno</t>
  </si>
  <si>
    <t>Núñez de Castro, Alonso</t>
  </si>
  <si>
    <t>Alonso Núñez de Castro</t>
  </si>
  <si>
    <t>calle de Santiago, á 11 rs. en pasta. Vida de S. Fernando 111 Rey de Castilla y León : escrita por D. Alonso Nuñez dé Castro, cronista de S. M., impresa en obsequio del Santo, y con su retrato, grabado por Muntaner: un tomo en 4.0 tnarquilla., á 28 rs. en pasta, 24 en pergamino y 20 á la rustica. Se hal</t>
  </si>
  <si>
    <t>Núñez, Manuel</t>
  </si>
  <si>
    <t>Manuel Núñez</t>
  </si>
  <si>
    <t>la qual se hallan indicados y declarados vocales natos de la expresada Junta , son D. Juan Luque , D. Manuel Nuñez y D. Félix González. Por Escribanía de Cámara y de Gobierno del Conseco Real se ha comunicado con fecha de 22 de Febrero último la circular siguiente r ,,La escasez y carestía de gran</t>
  </si>
  <si>
    <t>Núñez, Pedro</t>
  </si>
  <si>
    <t>Pedro Núñez</t>
  </si>
  <si>
    <t>a , D. Joaquín Camacho, Don Juan Martínez, D. Ramón Amaya , E3. JflosefSuarez , D. Pedro del Barco, D. Pedro Nuñez, D. Manuel Kcdriggn§^&lt;» D. Juan Josef Murrieta, Don Francisco Spínola, D. Juan Ulloa., D. M-sariin Oarrichena , D. Manuel Bacaro, D. Antonio Bovadilla, D. Migu«i(li Martínez, D. L</t>
  </si>
  <si>
    <t>Ñuño</t>
  </si>
  <si>
    <t>rs.; dan por ambas suertes, ia misma cantidad en vales Reales. A la de la Roza, conocida por la de D. Ñuño, tasada en 20,584 rs. 11 mrs., está hecha postura en la propia suma en vales Reales. Y para el remate de. estas tres suertes se ha señalado el día 2 8 del presente ante el Sr. Cor</t>
  </si>
  <si>
    <t>Ñuño de Chaves</t>
  </si>
  <si>
    <t>monetillo, en 35,160 rs. Otra en la de Machuca, en 68,320 rs. Y otra en la Roza, conocida por la de D. Ñuño de Chaves, en 20,584 rs. 11 mrs.; y para su remate se ha señalado el dia 20 de Noviembre próximo ante el Sr. Gobernador militar y Corregidor de dicha ciudad. Quien quisiere hacer postura, a</t>
  </si>
  <si>
    <t>O-Donojú, Juan</t>
  </si>
  <si>
    <t>Juan O-Donojú</t>
  </si>
  <si>
    <t>oronel en el regimiento de Olivencia, tercero de húsares, ai Teniente Coronel, graduado de Coronel, D. Juan O-Donojú; y en el de caballería de Alcántara el de Alférez al Portaestandarte D. Francisco Gasparini. En América. S. M. se ha dignado nombrar Ayudante veterano del regimiento de infantería</t>
  </si>
  <si>
    <t>O-Neille, Juan</t>
  </si>
  <si>
    <t>Juan O-Neille</t>
  </si>
  <si>
    <t>ndez , otro de 840 á Ana Bandrés, y finalmente de otro de 640 á Leonarda Belio. En seguida el Señor D. Juan O-Neille, Director, hizo un discurso manifestando á las aspirantes la satisfacción que le cabía por su aplicación y esmero , haciéndoles entender que estas son las verdaderas prendas que a</t>
  </si>
  <si>
    <t>Obregon y Villa, Gerónimo</t>
  </si>
  <si>
    <t>Gerónimo Obregon y Villa</t>
  </si>
  <si>
    <t>D. Pedro Notar bar tolo y Bolcgria, Dgíi Antonio González de Socueva, D. Francesco Chacón y valle, D. Gerónimo Obregon y Villa, D. Joaquín Tosquella y Monserrat, D. Jayme Fabregues y Santander , D. Antonio de Mella, D. Juan Novoa y Gayoso , D. Toribio Salcedo, D Francisco García Fiorez , D. Tomas Cervino,</t>
  </si>
  <si>
    <t>Obregon, Francisco</t>
  </si>
  <si>
    <t>Francisco Obregon</t>
  </si>
  <si>
    <t>rango y D. Juan Wenceslao Henriquez: en el de León á D. Manuel Rodríguez Bonell: en el de Irlanda á D. Francisco Obregon y á D. Joaquín Rodríguez de Are llano: en el de Cantabria á D. Josef Armiñan: en el de Asturias á 'D. Francisco de Zayas: en el de Navarra á D. Manuel Mendoza y D. MigueFRuano: en e</t>
  </si>
  <si>
    <t>Obregon, Francisco Xavier</t>
  </si>
  <si>
    <t>Francisco Xavier Obregon</t>
  </si>
  <si>
    <t>s, tocando á aquel, y dándose por consiguiente el segundo á este t el tercer premio, sorteado entre D. Francisco Xavier Obregon y D. Ramón-Padilla , tocó&gt;á este. En la cátedra de agricultura, que dirige el socio D.. Patricio Pastor, obtuvo ei premio de primera ciase el Dr. D. Francisco Xavier Obregorr, y el de</t>
  </si>
  <si>
    <t>Ocarol, Manuel</t>
  </si>
  <si>
    <t>Manuel Ocarol</t>
  </si>
  <si>
    <t>Diego Ponce de León, D. Nicolás Rubín, D. Joaquin Sánchez, D. Rafael de Lobo, D. Francisco Leceta, D. Manuel Ocarol, Dv x\ntonio Magadan, D. Norberto de Mella, D. Juan de Bnstamante, D. Joaquin del Pollo Sagasti, D. Pedro Negréte, D. Manuel Abreü , D. Ignacio del Valle, D. Josef de Santiago, D'</t>
  </si>
  <si>
    <t>Octaviano Taydit de Tersac</t>
  </si>
  <si>
    <t>nte de Yarm, ai de fusileros, D. Melchor Risy ; y Subtenencia en el ambulante de Ruttiman al Cadete D. Octaviano Taydit de Tersac. El Rey se ha servido conferir el empleo de Coronel en el regimiento de Olivencia, tercero de húsares, ai Teniente Coronel, graduado de Coronel, D. Juan O-Donojú; y en el de cabal</t>
  </si>
  <si>
    <t>Oerard, Coronel</t>
  </si>
  <si>
    <t>Coronel Oerard</t>
  </si>
  <si>
    <t>n beneficio.tan cnvineiue* *. j ' &lt; Parts *4 de Setiembre* »&lt;.!' -.t.1 Escriben de Áqüisgran que el Coronel Oerard;, ,primerr Edecán' del Mariscal Bernadotte, ha presentado al.Emperador,, en nombre del exer— cito de Hannóver, una medalla de oro acuñada en las minas de Hartz, para consagrar el</t>
  </si>
  <si>
    <t>Oficio de la Inquisición del Principado de Cataluña</t>
  </si>
  <si>
    <t>cio público y del estado por D. Francisco de Gomis, Familiar de número del Sto. Oficio de la Inquisición del Principado de Cataluña, vecino y del comercio de la ciudad de Barcelona ¿ se ha servido el Rey concederle privilegio de nobleza del mismo Principado, para sí, sus hijos y descendientes por línea recta masculina</t>
  </si>
  <si>
    <t>Oiiver, Capitán</t>
  </si>
  <si>
    <t>Capitán Oiiver</t>
  </si>
  <si>
    <t>rmanecían aun el 3. En la gazeta de Londres se ha publicado de oficio un bombardeo del Havre por el Capitán Oiiver. Si se considera el tiempo que duró, y la situación ventajosa que ocupaban nuestros navios, debe haber sida considerable la pérdida del enemigo. Varias lanchas cañoneras que acome</t>
  </si>
  <si>
    <t>Olaegui, Juan</t>
  </si>
  <si>
    <t>Juan Olaegui</t>
  </si>
  <si>
    <t>, D/MamutE Lasqucti, D. Ramón Rato, Don Roque Diaz,D. Miguel Daza,D. Diegf ]fadara,D. RamónTrullol, Don Juan Olaegui, D. Víctor Vinader, D.,.Vicente de Lago, D. Pedro Landazuri, D. Joaquín de Soroa, D. Adriinti.Morquecho, D. Bartolomé Arguelles, D. Fernando Becerra, D. Rafkl Bovadillo, D. Josef</t>
  </si>
  <si>
    <t>Olaeta y Calafát, Ignacio</t>
  </si>
  <si>
    <t>Ignacio Olaeta y Calafát</t>
  </si>
  <si>
    <t>eda , D. Diego Varo Franco, Don Pedro de la Barreda, D. Ignacio Reguera, D. Josef Zorrilla y Ortiz, Don Ignacio Olaeta y Calafát, D. Antonio Martínez y Tacón , D. Rafael Casa so la y ViUa.iba. En 3.a fecha. D; Luis de Córdoba y Postigo, D. Juan de Azas, D. Josef Olózága y Travieso, D. Francisco Gazcon y Mol</t>
  </si>
  <si>
    <t>Olaguer Feliu, Antonio</t>
  </si>
  <si>
    <t>Antonio Olaguer Feliu</t>
  </si>
  <si>
    <t>Taranco , Comandante general de la provincia de Guipúzcoa; y para esta resulta al Mariscal de Campo D. Antonio Olaguer Feliu. Para el Gobierno militar y político de la plaza de Málaga al Mariscal de Campo D. Fernando Gaver ; y para esta resulta al Brigadier D. Luis'Martínez de Ariza. Para el Gobierno ta</t>
  </si>
  <si>
    <t>Olalla, Miguel</t>
  </si>
  <si>
    <t>Miguel Olalla</t>
  </si>
  <si>
    <t>ción de la colegial de Covarrúbias , diócesis de Burgos, vacante por muerte de D. Domingo Bernal, á D. Miguel Olalla; y para el Beneficio mayor simple servidero del lugar de Muriel, en el obispado de Avila, que ha renunciado D. Bernardo Herrero, Cura de Pozal de Gallinas, para el que S. M. le ha</t>
  </si>
  <si>
    <t>Olarria, Andrés</t>
  </si>
  <si>
    <t>Andrés Olarria</t>
  </si>
  <si>
    <t>El Rey se ha servido promover en el regimiento de infantería de Asturias á Teniente al Subteniente D. Andrés Olarria ; y en los de Valencia y Ordenes Militares á Subtenientes de bandera al Sargento primero D. Joaquín Zanzano, y al Cadete D. Pedro de Berga. . S. M. se ha servido nombrar para la V</t>
  </si>
  <si>
    <t>Olea, Francisco Xavier</t>
  </si>
  <si>
    <t>Francisco Xavier Olea</t>
  </si>
  <si>
    <t>res, al Sr. D. Adrián Marcos Martínez: para la Regencia de la Audiencia de Cataluña que este dexa á D. Francisco Xavier Olea, y Carrasco: para la que este obtenía de la de Galicia á D.. Josef Pagóla , Oidor de la Chancillería de Granada: para esta, plaza, al Alcalde, ;de la misma D. Antonio Vaidecañas r</t>
  </si>
  <si>
    <t>Olea, Pedro</t>
  </si>
  <si>
    <t>Pedro Olea</t>
  </si>
  <si>
    <t>nuel Scoroez, D.Manuel Arévalo , D. Josef Caballero, D. Gaspar Orue , D.njltyfknuel Josel de Landa, D. Pedro Olea, D. Manuel Enna , D. Alonso Illlaipa, D. Josef León, D. Ildefonso Fonseca , D. Domingo Cándano, D. Jjjnsjw (Castañeda, D. Francisco Barceló, D. Juan Varona, D. Josef IVÍo ota lled</t>
  </si>
  <si>
    <t>Olive, Pedro María</t>
  </si>
  <si>
    <t>Pedro María Olive</t>
  </si>
  <si>
    <t>francés por A. F. Fourcroy,d’el Instituto nacional de Francia &amp;c., y trasladada ail castellano por D. Pedro María Olive: tomo 2.0 Se hallara á 17 rs. en rústica y "22 iii pasta'en el despachó de la imprenta Real. El partido de Maestro de primeras letr&amp;nt de la villa de Sta. María la Real de Nieva,</t>
  </si>
  <si>
    <t>Oliver, Capitán</t>
  </si>
  <si>
    <t>Capitán Oliver</t>
  </si>
  <si>
    <t>e en la Suabia, GRAN BRETAÑA. Londres i.° de Agosto. La esquadra del Havre ha sido acometida por el Capitán Oliver, Comandante del navio del Rey la Melpomene, y de los buques á sus órdenes. El daño que ha experimentado el enemigo con nuestro bombardeó, que duró hora y media, debe haber sido co</t>
  </si>
  <si>
    <t>Olona, Francisco</t>
  </si>
  <si>
    <t>Francisco Olona</t>
  </si>
  <si>
    <t>en el de Córdoba á su Caballero Page D. Josef Romero;y Ayudantía al Teniente, graduado de Capitán, Don Francisco Olona: Tenencia en ei de Aragón al Subteniente de granaderos D.Matías Hernández; y el empleo de Capitán segundo en el batallón de Voluntarios de Campomayor al segundo Ayudante D. Josef</t>
  </si>
  <si>
    <t>Olvers</t>
  </si>
  <si>
    <t>temáticas , que consiste en dar la teoría de las perturbaciones del planeta Palas &gt; descubierta por Mr. Olvers. Las memorias se escribirán en francés ó en latín, y se recibirán hasta 22 de Marzo de 1806. El premio será una medalla de oro de un kilograma. Ei premio de astronomía propuesto p</t>
  </si>
  <si>
    <t>ia para nuestros navegantes. FRANCIA. Parts 10 de Julio. En una gazeta inglesa leemos lo siguiente: Mr. Olvers, que descubrió en Brema ei planeta llamado Palas 3 acaba de dar al público algunas observaciones relativas á otro planeta llamado Hércules, á causa de su tamaño. Su volumen es tri</t>
  </si>
  <si>
    <t>Onofre Serra</t>
  </si>
  <si>
    <t>timo remitieren por el correo los Sres. D. Antonio Coma y Fórtet y D. Francisco Claret, de Cádiz, á D. Onofre Serra, de Manresa, en Cataluña» 3 vales Reales de 150 pesos, creación de i.° de Enero, niims. 265,862, 285,996 y 300,646, endosados por aquellos á favor de dicho D. Onofre Serra; y habi</t>
  </si>
  <si>
    <t>Ordis, Felipe</t>
  </si>
  <si>
    <t>Felipe Ordis</t>
  </si>
  <si>
    <t>osef Estébari; y para un Beneficio de la catedral de Gerona, vacante por muerte de D. Pedro Cora, á D. Felipe Ordis. El Rey se ha servido conceder en el regimiento de infantería de la Rey.na Compañía al Teniente de granaderos, graduado de Capitán, Don Miguel Garrido : en el de Zamora Tenencia a</t>
  </si>
  <si>
    <t>ascorü; y para otro de la misma catedral de Gerona, vacante por fallecimiento de D. Pedro Costa , á D. Felipe Ordis. En los regimientos Provinciales ha nombrado el Rey Sargento mayor del de Ciudad-Rodrigo al Capitán D. Gabriel de la Rocha: Tenientes de granaderos del mismo, y los de Toro yTruxi</t>
  </si>
  <si>
    <t>Ordóñez, Manuel</t>
  </si>
  <si>
    <t>Manuel Ordóñez</t>
  </si>
  <si>
    <t>os, graduado de Capitán, Don Miguel Garrido : en el de Zamora Tenencia al Subteniente de granaderos D. Manuel Ordóñez; y en el de Guadalaxara Subtenencia de bandera al Sargento primero de granaderos D. Antonio Delgado. Para el Gobierno militar y político de la plaza de Málaga ha nombrado S. M. al</t>
  </si>
  <si>
    <t>OrdoVas, Ignacio</t>
  </si>
  <si>
    <t>Ignacio OrdoVas</t>
  </si>
  <si>
    <t>ef Gortines , DvVicente Sancheg, !&gt;•' Joaquín de la Cruz, Don Rafael del Barrio , D. Joaquín Viado, D. Ignacio OrdoVas, D. Luis Cantío Montenegro y D. Miguel Santiilana. Por el Exento. £r. Conde de Montarco , Gobernador del Consejo, se ha comunicado &gt; con fecha-de 24'de Mayo &gt; la orden siguiente :</t>
  </si>
  <si>
    <t>Orduña y Zarzosa, Antonio</t>
  </si>
  <si>
    <t>Antonio Orduña y Zarzosa</t>
  </si>
  <si>
    <t>sencia, vacante por promoción de D. Tomas Laguna ál Árcedianató de Ubeda, Dignidad de la de Jaén, á D. Antonio Orduña y Zarzosa , Beneficiado de Sta. Olaya de la ciudad de Murcia. - En el regimiento de. infantería de Mallorca se ha servido el Rey promover á Teniente al Subteniente dé granaderos D. Ramón,Su</t>
  </si>
  <si>
    <t>Orgaz, María</t>
  </si>
  <si>
    <t>María Orgaz</t>
  </si>
  <si>
    <t>ndo 17 pedazos de tierra, sitas en término de Carabanchel de arriba, pertenecientes a la memoria de Doña María Orgaz, de caber 45 fanegas, 4 celemines y 64' estadales, tasadas en 27,442 rs. 22 mrs., para cuyo remate se ha Señalado el lunes 23 del corriente, á las 11 de su mañana, en la escribaní</t>
  </si>
  <si>
    <t>Orozco, Francisco</t>
  </si>
  <si>
    <t>Francisco Orozco</t>
  </si>
  <si>
    <t>Orozzo; esta resulta al Teniente D. Josef Dionisio Sánchez; empleos de Tenientes á los Subtenientes D. Francisco Orozco y D. Juan Pons; y de Subtenientes al Cadete D. Josef María Sánchez y al Sargento D. Isidro de la Osa. Asimismo ha nombrado S. M. para la primera Ayudantía de la plaza de Cumaná á D. M</t>
  </si>
  <si>
    <t>Orozzo, Antonio</t>
  </si>
  <si>
    <t>Antonio Orozzo</t>
  </si>
  <si>
    <t>: en el cuerpo veterano de infantería de Guayana empleo de Capítan al Ayudante mayor de este cuerpo D. Antonio Orozzo; esta resulta al Teniente D. Josef Dionisio Sánchez; empleos de Tenientes á los Subtenientes D. Francisco Orozco y D. Juan Pons; y de Subtenientes al Cadete D. Josef María Sánchez</t>
  </si>
  <si>
    <t>Orsi, Cardenal</t>
  </si>
  <si>
    <t>Cardenal Orsi</t>
  </si>
  <si>
    <t>n subscripciones en Murcia en la librería de Benedito. Continuación de la Historia eclesiástica del Cardenal Orsi, por el limo. Fr. Felipe Angélico Bechetti, Obispo de Pieve; traducida al castellano por el Mtro. Martínez , Dominico: tomo 2.0 Se hallará en la librería de Fuentenebro, calle de</t>
  </si>
  <si>
    <t>Ortega y Ortiz, Vicente Antonio</t>
  </si>
  <si>
    <t>Vicente Antonio Ortega y Ortiz</t>
  </si>
  <si>
    <t>a otra de la catedral de Calahorra, vacante por muerte de Dea Pedro González Martínez dé la'Mata, á D. Vicente Antonio Ortega y Ortiz , Medio-Racionero de la misma iglesia: para el Préstamo de Vallavieja , en el obispado de Ciudad-Rodrigo, vacante por fallecimiento de Mariano de los Ríos, á D¿-Segundo• Gallego:</t>
  </si>
  <si>
    <t>Ortega, Vicente Antonio</t>
  </si>
  <si>
    <t>Vicente Antonio Ortega</t>
  </si>
  <si>
    <t>el propio obispado; y para un?. Media-Racion de la catedral de Calahorra, vacante por promoción de D Vicente Antonio Ortega á Ración entera de la misma, á D. Santiago Cruz González, Cura de la parroquial de Sta. Ana de la villa de Cervera, en aquel obispado- . , , . El Rey se ha servido promover en el</t>
  </si>
  <si>
    <t>Ortigúela, Manuel</t>
  </si>
  <si>
    <t>Manuel Ortigúela</t>
  </si>
  <si>
    <t>Canongía de la colegial de Covarrubias, en el arzobispado de Burgos , vacante por fallecimiento de D. Manuel Ortigúela, á D. Gaspar de Riaño Perez, Arcediano titular y Magistral de ella, con retención de los Préstamos que obtiene como. Canónico mas antiguo: para el Beneficio simple servidero de la</t>
  </si>
  <si>
    <t>Ortiz de León, Juan</t>
  </si>
  <si>
    <t>Juan Ortiz de León</t>
  </si>
  <si>
    <t>tado y Voluntarios de la Corona á los Presbíteros D. Juan Antonio Prieto, D. Cárlos María Martínez, D. Juan Ortiz de León, Don</t>
  </si>
  <si>
    <t>Ortiz de Rufrancos, Miguel</t>
  </si>
  <si>
    <t>Miguel Ortiz de Rufrancos</t>
  </si>
  <si>
    <t>Colegial: para una Ración de la Metropolitana de Burgos, vacante por muerte de Don Manuel Zamema, á D. Miguel Ortiz de Rufrancos, Rector de la Universidad de Salamanca: para un Beneficio servidero de la Parroquia de S. Pedro de la ciudad de Zamora, que estaba vacante mucho tiempo hacia, á D. ‘Fulgencio Mart</t>
  </si>
  <si>
    <t>Ortiz de Zarate y Ara, Pedro</t>
  </si>
  <si>
    <t>Pedro Ortiz de Zarate y Ara</t>
  </si>
  <si>
    <t>al y Montoya, D. Josef Medrano y Treviño, D. Joaquin Escario y Carrasco, D. Joaquin Vivanco y Yun , D. Pedro Ortiz de Zarate y Ara , D. Juan Bravo de Rivero, D. Josef González de Merino, D. Bernardo Gil de Ledesma y Seix , D. Josef Santiago Arias de Saavedra, Don Ignacio de Cárdenas y Cárdenas, D. Juan Loriga</t>
  </si>
  <si>
    <t>Ortiz de Zarate, Rafael Antonio</t>
  </si>
  <si>
    <t>Rafael Antonio Ortiz de Zarate</t>
  </si>
  <si>
    <t>ncisco Monsagrati , con la obligación que tiene anexa de servicio, turno de misas y confesonario, á D. Rafael Antonio Ortiz de Zarate: para una Ración dé la parroquial de la ciudad de Cascante, en el Reyno de Navarra, diócesis de Tarazona, vacante por promoción de D. Juan Josef Martínez á un Beneficio de las par</t>
  </si>
  <si>
    <t>Ortiz Otañez, Miguel</t>
  </si>
  <si>
    <t>Miguel Ortiz Otañez</t>
  </si>
  <si>
    <t>r de la Chancíllería de VáUadolid, vacante por fallecimiento; de D. Juan Antonio Serrano y Cieza, á D. Miguel Ortiz Otañez, Alcalde del crimen mas antiguo de ella; y para esta resulta á D» Santiago Zapata: para el Corregimiento de Letras de la villa de Olmedo á D, Jcaquin Tercero Gaseo; y para el de l</t>
  </si>
  <si>
    <t>Ortiz, Agustín</t>
  </si>
  <si>
    <t>Agustín Ortiz</t>
  </si>
  <si>
    <t>.. ......... 141-25 Agustín Ortiz....................... Belchite............................... 14 Juan Menudo........................ Fuente la Encina............. 141-25 Francisco del Cerro............. P</t>
  </si>
  <si>
    <t>Ortiz, Diego</t>
  </si>
  <si>
    <t>Diego Ortiz</t>
  </si>
  <si>
    <t>450 rs. O’trá de 2 fan. y 6 cel., en el camino de Fresno, linde á oriente con tierra que administra D. Diego Ortiz, á mediodia con Andrés dé Maribenito, vecino'de Daganzo, á poniente Juan López Recio, y á la sierra el'camino de Fresno , á 200 rs. Otra en «el campo, de 2 fan. y 6 cel., linde á</t>
  </si>
  <si>
    <t>Ortiz, Manuel</t>
  </si>
  <si>
    <t>Manuel Ortiz</t>
  </si>
  <si>
    <t>el Merlo, á 750 rs. Otra ¡unto al portillo de Alalpardo, de 1 fan. , linde á oriente y mediodia con D. Manuel Ortiz, á poniente con D. Josef de Ribas,y á la sierra herederos de Andrés Rodríguez, en 450 rs. O’trá de 2 fan. y 6 cel., en el camino de Fresno, linde á oriente con tierra que administ</t>
  </si>
  <si>
    <t>Ortiz, Miguel</t>
  </si>
  <si>
    <t>Miguel Ortiz</t>
  </si>
  <si>
    <t>w Se ha extraviado un vale Real de 600 pesos, de i.° de Setiembre, núm. 4830, renovado en cabeza de D, Miguel Ortiz, y endosado por este á Manuel Villarubia Picado en Valladolid el 2 del presente. Quien sepa su paradero ,,se servirá avisarlo en esta corte afeitado Villambia, que vive en el mesó</t>
  </si>
  <si>
    <t>Real Ohancillería de Granada. El segundo dia dito un discurso sobre el modo de traducir con acierto D. Miguel Ortiz de ia Tejera,y luego fuéron examinados estos jóvenes en las traducciones de</t>
  </si>
  <si>
    <t>mismo obispado; y pára la Prestamera de la villa de Cañada del Hoyo, en el de Cuenca, por muerte de D. Miguel Ortiz, á</t>
  </si>
  <si>
    <t>Teniente de granaderos al de fusileros D. Pablo Fuero: á Subteniente de granaderos al de fusileros D. Miguel Ortiz; y á Subteniente de bandera al Cadete D. Nicolás Casas. Como en las ciencias físicas, con especialidad en la Medicina, no son los raciocinios, por exactos que parezcan, sino solas</t>
  </si>
  <si>
    <t>Ortiz, Pedro</t>
  </si>
  <si>
    <t>Pedro Ortiz</t>
  </si>
  <si>
    <t>J41..25 Pedro Ortiz......................... Mi naya................................ 14 Juan Hermoso, Cabo.,......... Corral de Calatrava. 283-16 Pedro Segovia...</t>
  </si>
  <si>
    <t>Ortólá, Joaquín</t>
  </si>
  <si>
    <t>Joaquín Ortólá</t>
  </si>
  <si>
    <t>rroquial de S. Andrés de la ciudad de Valencia,ipor fallecimiento de D. Francisco Mateo Vizcayno, á D. Joaquín Ortólá ; y para el Oficio regular de Enfermero del Real Monasterio de S. Pedro de Rodas de la Congregación Benedictina claustral Tarraconense, á D.'Fr. Juan de Massot y de Estrada. En la</t>
  </si>
  <si>
    <t>Orue, Gaspar</t>
  </si>
  <si>
    <t>Gaspar Orue</t>
  </si>
  <si>
    <t>ría Blak, D. Simón Mesía, D. Josef Godoy, D. Manuel Scoroez, D.Manuel Arévalo , D. Josef Caballero, D. Gaspar Orue , D.njltyfknuel Josel de Landa, D. Pedro Olea, D. Manuel Enna , D. Alonso Illlaipa, D. Josef León, D. Ildefonso Fonseca , D. Domingo Cándano, D. Jjjnsjw (Castañeda, D. Francisco B</t>
  </si>
  <si>
    <t>Osea, Joaquín María</t>
  </si>
  <si>
    <t>Joaquín María Osea</t>
  </si>
  <si>
    <t>el mes de Febrero de 1805. Ont emente, rey no de Valencia , 20 de Agosto. En esta villa, en casa de D. Joaquín María Osea, se saco un pescado de una balsa para limpiarla, y entre tanto se le metió en una caldera de cobre llena de agua , en la que se le echáron algunas migajas de pan; pasadas algunas</t>
  </si>
  <si>
    <t>Osma, Joaquín</t>
  </si>
  <si>
    <t>Joaquín Osma</t>
  </si>
  <si>
    <t>D. Josef Musitu; á Capitanes primeros á los Capitanes segundos D. César González , D. Josef Andía, Don Joaquín Osma, graduado de Teniente Coronel, D. Antonio Tejada y Otalora y D. Joaquín Cáceres; á Capitanes segundos á los Tenientes Don Manuel del Pino, D. Felipe Luengo, D. Manuel Bequer , D.</t>
  </si>
  <si>
    <t>Osorio, Antonio</t>
  </si>
  <si>
    <t>Antonio Osorio</t>
  </si>
  <si>
    <t>s de Basave, D. Francisco de la Lastra, D. Felipe Saavedra, D. Josef Melgares, D.. Alonso Ramírez , D. Antonio Osorio, D. Manuel Alyarez, D. Bartolomé Pita Daveyga, D. Luis de los Ríos, D. Francisco Calvo, D. Luis Perez del Camino, D. Gonzalo Gómez, D. Antonio Quintano, D. Josef Montaibo, D. Pedr</t>
  </si>
  <si>
    <t>Otal, Fernando</t>
  </si>
  <si>
    <t>Fernando Otal</t>
  </si>
  <si>
    <t>e fusileros D. Joaquín Carballo y D. Francisco Cabrera: á Subtenientes de compañía á los de bandera D. Fernando Otal, D. Pedro Quiros y D. Antonio María Bayot, y á los Sargentos primeros D. Mariano Ortiz y D. Josef Dimalanta; y á Subtenientes de bandera á los Cadetes D. Josef Aguirre, D. Josef M</t>
  </si>
  <si>
    <t>Otermin, Felipe</t>
  </si>
  <si>
    <t>Felipe Otermin</t>
  </si>
  <si>
    <t>6)2 cha inteligencia y conocida aplicación, debida al método instructivo de su maestro el Teniente D. Felipe Otermin, y ai constante zelo del Brigadier D. Miguel de Salcedo, Coronel de dicho cuerpo, que con los de-r mas gefes, se esmera en promover La instrucción de esta noble ciase en bien dei</t>
  </si>
  <si>
    <t>Otero, Antonio</t>
  </si>
  <si>
    <t>Antonio Otero</t>
  </si>
  <si>
    <t>a de Junco, del Consejo de S. M., su Alcalde de casa y corte, dada en los autos de testamentaría de D. Antonio Otero, vecino que fgé de esta dicha corte, y natural del lugar y feligresía de S. Miguel de Erandariz , coto de Brandantes, arzobispado de Santiago en el reyno de Galicia, viudo en terc</t>
  </si>
  <si>
    <t>Otero, Santiago</t>
  </si>
  <si>
    <t>Santiago Otero</t>
  </si>
  <si>
    <t>Manuel Torres y D. Manuel de Ortega, Sargento primero de granaderos y Cadete del mismo cuerpo, y á Don Santiago Otero, Cadete del fixo de la plaza de Ceuta. También se ha ser-1 vido promover á Teniente en el regimiento de infantería del Príncipe al Subteniente de granaderos D. Antonio Estrada ; y</t>
  </si>
  <si>
    <t>Otin, Ramón</t>
  </si>
  <si>
    <t>Ramón Otin</t>
  </si>
  <si>
    <t>........... 141..25 Ramón Otin....................... Sta. María de Belsul....... )41, •25 Nicolás Moreno.................... (. astro'............ ....... .......... 141..25 Batolomé Alvarez............. CaSt</t>
  </si>
  <si>
    <t>Otto de Gemmingen</t>
  </si>
  <si>
    <t>xonia** del Barón de Atbini, Ministro directoriai de la Dieta* por el Elector Archi-Cánciller, y de Mr. Otto de Gemmingen, Ministro del Elector de Badén en la corte de Viena, por el mencionado Elector. Como lía mayor parte de los estados del Imperio se han conformado ya formalmente á las disposicione</t>
  </si>
  <si>
    <t>Oudinot, General</t>
  </si>
  <si>
    <t>General Oudinot</t>
  </si>
  <si>
    <t>l campamento izquierdo de este exército ,' saliéron apresurad ámente" el Contra-Almirante Magon, el General Oudinot y otros oficiales súperié-í» res á hacer que prontamente se socorriera á‘la tripulación; pero sin aguardar á tanto , se echó á nado un Alférez de navio, siguiéndole lófc soldados de</t>
  </si>
  <si>
    <t>Ovalie, Joaquín</t>
  </si>
  <si>
    <t>Joaquín Ovalie</t>
  </si>
  <si>
    <t>untarios de Estado al Cadete del de Reales Guardias Españolas D. Cayetano María de Espino y Real. A D. Joaquín Ovalie, Teniente Coronel agregado en el tercer Regimiento del Real Cuerpo de Artillería, ha conferido S. M. la Tenencia de Rey de la plaza de Cartagena. En el Regimiento de caballería de</t>
  </si>
  <si>
    <t>Ovando, Pedro</t>
  </si>
  <si>
    <t>Pedro Ovando</t>
  </si>
  <si>
    <t>MedioRacionero de la catedral de Salamanca : para la Media-Ración que este dexa en dicha catedral á D. Pedro Ovando: para el Beneficio servidero de S. Benito de la ciudad de Salamanca, que este obtiene , á D. Manuel Gómez Patrón: para una Ración de la misma catedral, vacante por fallecimiento d</t>
  </si>
  <si>
    <t>n» «jue hste obtiene en ella, á D. Francisco Xavier Francos: para la Media-Ración, que este dexa, á D. Pedro Ovando: para el Beneficio servidero de S. Benito de aquella ciudad, que obtiene Ovando, á D. Manuel Gómez Patrón: para el Beneficio simple de Aedo de Butrón, en el Arzobispado de Burgos,</t>
  </si>
  <si>
    <t>Oviedo, Francisco</t>
  </si>
  <si>
    <t>Francisco Oviedo</t>
  </si>
  <si>
    <t>rios al Brigadier D. Agustín del Campo y al Cadete Marques de Cerralbo ; á Brigadier al Subrigadier D. Francisco Oviedo; á Subrigadier al Cadete D. Joseph Quiñones; á'Cadetes de número al supernumerario D. Francisco Sanz, y al Guardia D. Francisco Verdinois, y á Cadete supernumerario al Guardia D.</t>
  </si>
  <si>
    <t>Owen, Capitán</t>
  </si>
  <si>
    <t>Capitán Owen</t>
  </si>
  <si>
    <t>e estas voces carecen del menor fundamento. En la Gazeta de la Corte del 27 se leen los pliegos del Capitán Owen del navio Inmortalidad, en que da cuenta del combate que tuvo la semana pasada con una división de la esquadriila enemiga. Fue muy consi ierable nuestra pérdida. Por otros pliegos pub</t>
  </si>
  <si>
    <t>Ozcariz y Arce, Julián</t>
  </si>
  <si>
    <t>Julián Ozcariz y Arce</t>
  </si>
  <si>
    <t>Alcalde de su Real casa y corte. En atención á la avanzada edad y achaques, méritos y servicios de D. Julián Ozcariz y Arce , Ministro del Consejo de Navarra, ha venido el* Rey en jubilarle con todos sus honores, sueldos y emolumentos, nombrando al propio tiempo para esta plaza al Alcalde de corte del</t>
  </si>
  <si>
    <t>Padilla, Julián</t>
  </si>
  <si>
    <t>Julián Padilla</t>
  </si>
  <si>
    <t>ía á los agregados Don Joaquín Ruj as,D. Francisco González y D. Francisco Diaz, y á los de bandera D. Julián Padilla, D. León Torralbo, D. Manuel VUlalba y Don Francisco García;y áSubtenientes de banderaá los agregados D. Nicolás Sabifion, graduado de Teniente, D. Josef López, D* Silvestre Ramír</t>
  </si>
  <si>
    <t>Padrón, Juan</t>
  </si>
  <si>
    <t>Juan Padrón</t>
  </si>
  <si>
    <t>lo; á Teniente de fusileros al Subteniente D. Juan del Rivero, y á Subteniente de bandera al Cadete D. Juan Padrón. En el Real establecimiento formado en esta corte,calle de las tres Cruces, casa núm. 4, para la instrucción pública en el importante ramo de maquinaría y construcción de instrume</t>
  </si>
  <si>
    <t>Page, Capitán</t>
  </si>
  <si>
    <t>Capitán Page</t>
  </si>
  <si>
    <t>sboa, donde ha estado cerca de 2 años. Una carta del Fuerte William, de 14 de Marzo, dice así: „ El Capitán Page, Comandante de la fragata Carolina, de 36 cañones, ha llegado aquí después de haber apresado 2 corsarios enemigos, que molestaban mucho el comercio. La compañía de Seguros le ha r</t>
  </si>
  <si>
    <t>Paget</t>
  </si>
  <si>
    <t>io las tasas de su promoción. Dentro de pocos días se espera aquí de vuelta de su viage á Londres á Mr. Paget, Ministro de Inglaterra cerca de nuestro gobierno: se asegura que el gabinete austríaco tomará una parte muy activa en los esfuerzos de mediación de la Rusia.</t>
  </si>
  <si>
    <t>a Otomana. Se detendrá para exercer las funciones de Ministro Británico ínterin llega el sucesor de Mr. Paget,quien dentro de 1 &gt; dias partirá para Londres. Hace mucho tiempo que estaba decidida la demolición de las moralias y fortificaciones de esta ciudad; pero se había suspendido por v</t>
  </si>
  <si>
    <t>PagetMinistro de Inglaterra</t>
  </si>
  <si>
    <t>verse con el Emperador y con él Archiduque Cárlos, en cuya compañía vendrá á Viena. Es público que Mr. PagetMinistro de Inglaterra en Viena, tenia licencia de su corte para volver á su patria, y que estaba haciendo sus preparativos para irse á embarcar en Holsteity, quando recibió un correo con pliegos de suma</t>
  </si>
  <si>
    <t>Palacio y San Cristóbal, Ramón</t>
  </si>
  <si>
    <t>Ramón Palacio y San Cristóbal</t>
  </si>
  <si>
    <t>Saavedra, Don Ignacio de Cárdenas y Cárdenas, D. Juan Loriga y Reguera, D. [oaquin Aguado y Cañas , D. Ramón Palacio y San Cristóbal, D. Mateo Hernández de Urcullo, D. Antonio del Riosoto y Espino, D. Josef Graces y Graces, D. Manuel Montesoro y Moreno , D. Ramón Ibañez Lo</t>
  </si>
  <si>
    <t>Palacio, Antonio</t>
  </si>
  <si>
    <t>Antonio Palacio</t>
  </si>
  <si>
    <t>pendio de Astronomía___ Geografía. i.°: D. Serapio de la Hormaza: Mendoza, Tablas, Astronomía. 2.ü: D. Antonio Palacio: Viage de las goletas, con su atlas. __ Historia. i.°: D. Antonio Palacio : Mariana, Historia de España, edición grande de Ibarra, 2 tomos en folio. 2.0: D. Diego Colon: Inca Garc</t>
  </si>
  <si>
    <t>Palacios de Vita, Ventura</t>
  </si>
  <si>
    <t>Ventura Palacios de Vita</t>
  </si>
  <si>
    <t>edro; y para el Beneficio Préstamo del lugar de Pozuelo, diócesis de Coria, vacante por renuncia de D. Ventura Palacios de Vita, á D. J osef López de López. Eí Rey se ha servido conferir la Sargentía mayor del regimiento de infantería de Mallorca al Teniente Coronel D. Angel de Lana , Capitán diel mismo cu</t>
  </si>
  <si>
    <t>Palacios, Juan Félix</t>
  </si>
  <si>
    <t>Juan Félix Palacios</t>
  </si>
  <si>
    <t>pañía en el batallón de Milicias disciplinadas de B! ancos de Caracas al Teniente del propio Cuerpo D. Juan Félix Palacios ; su resulta ai Subteniente de granaderos D. Cornelio Blanco; y esta Subtenencia ai de fuuleros D. Josef Antonio Anzola. En algunos ¿xemplares de la Gazeta anterior, núm. 88, pág.</t>
  </si>
  <si>
    <t>Palaíox y Croy, Antonio</t>
  </si>
  <si>
    <t>Antonio Palaíox y Croy</t>
  </si>
  <si>
    <t>ompendio del catecismo grande del Padre Francisco Amado Pouget: empezado á imprimir por el Iímo.Sr. D. Antonio Palaíox y Croy, y continuado después de su muerte, baxo el mismo plan y método con que se había principiado , por el Excmo. Sr. D. Josef Eustaquio Moreno, Colector general de.espolios y vacantes</t>
  </si>
  <si>
    <t>Palatino de Hungría, Archiduque</t>
  </si>
  <si>
    <t>Archiduque Palatino de Hungría</t>
  </si>
  <si>
    <t>ha tenido la primera audiencia con Mr. el Conde de Cobentzel. Ayer ha salido para Buda S. A. R. el Archiduque Palatino de Hungría. Munich 27 de Junio. S. A. E.ha resuelto mandar construir aquí un observatorio, con arreglo al plan ideado por Mr. Seyfler, profesor en Gottinga. S. A. le ha encargado la execucio</t>
  </si>
  <si>
    <t>Palau y Castaño, Francisco</t>
  </si>
  <si>
    <t>Francisco Palau y Castaño</t>
  </si>
  <si>
    <t>a Real iglesia de S. Isidro: para la primera, vacante por fallecimiento de D. Josef Carbó Falcon, á D. Francisco Palau y Castaño, Cura de la villa de Albace</t>
  </si>
  <si>
    <t>Palavisíno, Antonio</t>
  </si>
  <si>
    <t>Antonio Palavisíno</t>
  </si>
  <si>
    <t>D. Cayetano María Menos. Los heredaros inmediatos, que acrediten serlo per legítimos documentos, de D. Antonio Palavisíno, vecino que fué de la ciudad de.Zaragoza, y se cree fué natural del Reyno dé Aragón, se presentarán &amp; D. Juan Vascuel, Procurador del Real seminario sacerdotal de S. Carlos de Zar</t>
  </si>
  <si>
    <t>Palay, Antonio</t>
  </si>
  <si>
    <t>Antonio Palay</t>
  </si>
  <si>
    <t>nombrado Subteniente de la Compañía de fusileros Guardabosques Reales al Subteniente de infantería D. Antonio Palay, Sargenco primero de la misma. En los regimientos provinciales ha promovido S. M. á Capitán de granaderos en el de Ciudad-Rodrigo al de fusileros D. Pedro Alcántara de Quirós: á C</t>
  </si>
  <si>
    <t>Paletieres, Coronel</t>
  </si>
  <si>
    <t>Coronel Paletieres</t>
  </si>
  <si>
    <t>ones, y hoy ha pasado revista á la guarnición. Ha quedado sumamente satisfecho de la vigilancia del Coronel Paletieres, encargado de la instrucción de la tropa de reserva que se halla en esta plaza. Paris 8 de Agosto. Mr. Chaptal ha hecho dimisión del ministerio que tenia de lo interior , y ha sid</t>
  </si>
  <si>
    <t>Pallares, Bartolomé</t>
  </si>
  <si>
    <t>Bartolomé Pallares</t>
  </si>
  <si>
    <t>Josef Mesalles, á D. Pedro Benet: para otro de la Catedral de Tortosa, vacante por fallecimiento de D. Bartolomé Pallares, á D. Buenaventura Rovira. El Rey se ha servido conferir Compañía en el regimiento de infantería de Murcia al Ayudante, graduado de Teniente Coronel, D. Gerónimo Rengel: Tenencias</t>
  </si>
  <si>
    <t>Pallares, Juan</t>
  </si>
  <si>
    <t>Juan Pallares</t>
  </si>
  <si>
    <t>mo cuerpo : también ha nombrado S. M. Cirujano del regimiento de infantería fixo de aquella plaza á D. Juan Pallares. Asimismo se ha servido S. M. promover á Capitán del regimiento de dragones de España, en el reyno de México, á D. Nicolás de Cosío, Teniente con grado de Capitán del mismo cuerpo</t>
  </si>
  <si>
    <t>Pallavicini, Antonio María</t>
  </si>
  <si>
    <t>Antonio María Pallavicini</t>
  </si>
  <si>
    <t>hos y doctrina del gran Padre y Doctor de la Iglesia S. Agustín: obra escrita en italiano por el P. D. Antonio María Pallavicini, Abad perpetuo de la congregación de Canónigos reglares lateranenses; y traducida por D. Juan de Ribera v Céspedes, Oficial de la Secretaría de Cruzada : tomo i.° Para formar idea</t>
  </si>
  <si>
    <t>Palmer</t>
  </si>
  <si>
    <t>as que las establecidas por autoridad y expreso permiso del Gobierno. Se ha publicado el método del Profesor Palmer, de Hamburgo, para preservar de incendio las materias inflamables, como maderas, papel, lienzos &amp;c. Compónese de unos polvos, que resultan de una paite de azufre , de otra de ocre</t>
  </si>
  <si>
    <t>Palomino, Antonio</t>
  </si>
  <si>
    <t>Antonio Palomino</t>
  </si>
  <si>
    <t>. 283-16 Antonio Palomino.............. Dos-barrios................... *41-25 Diego Cueto....................... Casa ranciado——. 141..25 luis Estun...........</t>
  </si>
  <si>
    <t>Palomino, Juan</t>
  </si>
  <si>
    <t>Juan Palomino</t>
  </si>
  <si>
    <t>Real cuerpo de Ingenieros del exército ha promovido S. M. á Capitanes primeros á IX Luis Valanzat, D. Juan Palomino y D. Nazareo de Egeia, Capitanes segundos; y á este empleo á ios Tenientes Don Pablo Sirera, D. Miguel Arechavala y D. Melchor Silvestre. En los regimientos de cabállería de España ,</t>
  </si>
  <si>
    <t>Palomo, Pedro</t>
  </si>
  <si>
    <t>Pedro Palomo</t>
  </si>
  <si>
    <t>ani. En el regimiento de infantería de Soria se ha servido S. M. promover á Teniente ai Subteniente D. Pedro Palomo; y á Subtenientes de bandera en los del Príncipe y Córdoba á los Sargenros primeros D. Antonio González y D. Manuel Nebot. Por el Ministerio de Hacienda se ha comunicado, con fech</t>
  </si>
  <si>
    <t>Panadero, Antonio</t>
  </si>
  <si>
    <t>Antonio Panadero</t>
  </si>
  <si>
    <t>uan Antonio Martínez, Capitán del de Málaga: Tenencia en el de América al Subteniente de granaderos D. Antonio Panadero; y Subtenencia de bandera en el de Hibernia ai Cadete del de Toledo D. Vicente Sánchez Villamarin. En los de Húsares se ha servido igualmente S. M. conferir compañía en el de Volu</t>
  </si>
  <si>
    <t>Panadero, Santiago</t>
  </si>
  <si>
    <t>Santiago Panadero</t>
  </si>
  <si>
    <t>141-25 Santiago Panadero.......... '... Arganda.......................... 141-25 Francisco López-..—......... Yébenes-..................... . 141-25 Joaquin Salas............</t>
  </si>
  <si>
    <t>Pando, Manuel</t>
  </si>
  <si>
    <t>Manuel Pando</t>
  </si>
  <si>
    <t>imple servidero de la parroquia de la villa de Nava de Roa, diócesis de Osma* vacante por muerte de D. Manuel Pando, con la obligación de ayudar al Párroco en la administración de sacramentos, por sí ó por otro Sacerdote, á D. Joaquín Andrés Fernandez: para otro Beneficio simple servidero de la</t>
  </si>
  <si>
    <t>Pañero, Remigio Martín</t>
  </si>
  <si>
    <t>Remigio Martín Pañero</t>
  </si>
  <si>
    <t>rvidero de la parroquial del lugar de Macotera , en el obispado de Salamanca, vacante por muerte de D. Remigio Martin Pañero,á D. Antonio Sánchez; y para otro de la parroquia de Sta. Leocadia, de la villa de Talavera de la Reyna, vacante por fallecimiento de D. Josef Maseda, á D. Juan Antonio Ramírez Te</t>
  </si>
  <si>
    <t>Panes, Miguel</t>
  </si>
  <si>
    <t>Miguel Panes</t>
  </si>
  <si>
    <t>cuerpo de Artillería ha promovido S. M. á Teniente del segundo regimiento al Subteniente del quinto-D. Miguel Panes, habiendo, nombrado Teniente de artilleros á caballo del segando regimiento á Don Benito Aballe* que lo era de infantería en el propio regimiento. En los regimientos de-caballería</t>
  </si>
  <si>
    <t>Pantaleon Álvarez Crenfuegos</t>
  </si>
  <si>
    <t>pilla de S. M.: para una Canongía de la colegial de Ubeda, en la diócesis de Jaén, por promoción de D. Pantaleon Alvarez Crenfuegos á la Dignidad de Arcipreste de la catedral de Guadix, á D. Pedro Antonio de Annenteros y Merino: para una Pación ele la catedral de Zamora, vacante. por promoción de D. Manuel Gon</t>
  </si>
  <si>
    <t>Paradiila, Luis</t>
  </si>
  <si>
    <t>Luis Paradiila</t>
  </si>
  <si>
    <t>e 3520 rs., pagados mensualmcnte por dicnos patronos; y de todas las demas circunstancias informará D. Luis Paradiila, que vive en la calle de Jacometrezo, núm. p, quarto principal, frente al hospital de Jos Franceses. Los viages de Rolando y de sus compañeros de fortuna al rededor del mundo: obr</t>
  </si>
  <si>
    <t>Paragüey-d’Hilliers, General</t>
  </si>
  <si>
    <t>General Paragüey-d’Hilliers</t>
  </si>
  <si>
    <t>rtes y oficios, y después hubo exercicio de caballería___ .El Emperador se ha dignado manifestar al General Paragüey-d’Hilliers, comandante del campo de Compiegne, y á los comandantes de los regimientos de dragones, la satisfacción que ha tenido S. M. I. en ver maniobrar estos cuerpos___ S. A. I., el Conde</t>
  </si>
  <si>
    <t>Parayuelo, Francisco Xavier</t>
  </si>
  <si>
    <t>Francisco Xavier Parayuelo</t>
  </si>
  <si>
    <t>adete D. Antonio de Padna Gay te: Tenencia en el batallón de Voluntarios de Valencia al Subteniente D. Francisco Xavier Parayuelo; y el empleo de segundo Ayudante en el de Voluntarios de Campomayor al Teniente D. Matías Ventura. El Rey ha conferido la Capitanía de granaderos en el Regimiento de infantería Su</t>
  </si>
  <si>
    <t>Pardo Figueroa, Benito</t>
  </si>
  <si>
    <t>Benito Pardo Figueroa</t>
  </si>
  <si>
    <t>onde de Fuentes d’Egmont, Grande de España de primera clase, General al servicio de S. M. Católica; D. Benito Pardo Figueroa, General al servicio de S. M. Católica; el Marques de Crevecoeur, Exento de Reales Guardias de Corps ; el Duque del Parque, Grande deEspaña de primera clase, Teniente General; el</t>
  </si>
  <si>
    <t>Pardo Rivadeneyra, Manuel</t>
  </si>
  <si>
    <t>Manuel Pardo Rivadeneyra</t>
  </si>
  <si>
    <t>Gonzalo Gómez, D. Antonio Quintano, D. Josef Montaibo, D. Pedro García, Don j» an de San Llórente, D. Manuel Pardo Rivadeneyra, D. Josef de Miranda, D.. Francisco Díaz Melendez, D. Josef Aramburu, ¿.Francisco Echezarreta, D. Pablo Bustamante, D. Domingo Allende, D. Antonio Valcárcel, D. Antonio Díaz de Có</t>
  </si>
  <si>
    <t>Pardo, Antonio</t>
  </si>
  <si>
    <t>Antonio Pardo</t>
  </si>
  <si>
    <t>al Capitán agregado D. Juan Carrascosa: á Teniente de "granaderos del de Pontevedra al de fusileros D. Antonio Pardo: á Tenientes de fusileros de los de Ecija y Cuenca á los Subtenientes de granaderos D. Manuel Vázquez y D. Pedro Almanzon: á Subtenientes, de granaderos dé los de Segovia y Chinch</t>
  </si>
  <si>
    <t>Pardo, Luis</t>
  </si>
  <si>
    <t>Luis Pardo</t>
  </si>
  <si>
    <t>Fournier, D. Luis Pedro Broysgroller, D. Carlos D’esmarest, D. Diego de la Vega, D. Josef de León, D. Luis Pardo, D. Josef Chacón, D. Martin de la Quintana, D. Cayetano Picado, Don Francisco Villavicencio, D. Luis de Basave, D. Francisco de la Lastra, D. Felipe Saavedra, D. Josef Melgares, D</t>
  </si>
  <si>
    <t>Pardo, Vicente</t>
  </si>
  <si>
    <t>Vicente Pardo</t>
  </si>
  <si>
    <t>anaderos , graduado de Capitán, D. Juan Bayon; y en el de Asturias Subtenencia de bandera al Cadete D. Vicente Pardo. S. M. se ha dignado nombrar Subteniente de bandera del primer batallón de Voluntarios de Cataluña á D. Rafael Delgado y Moreno, Cadete del cuerpo veterano de infantería de Maraca</t>
  </si>
  <si>
    <t>París, Bartolomé</t>
  </si>
  <si>
    <t>Bartolomé París</t>
  </si>
  <si>
    <t>cíe S. M.: para la Ración de la misma iglesia, vacante pof muerte de Don Bartolomé París, a D. Josef Alexos de Medina; y para un Beneficio de la parroquial de Sea. María de la villa de Piera, obispado de Barcelona, vacante por dimisión de D. Mariano Rovira, á D. Joaqu</t>
  </si>
  <si>
    <t>Parodi, Manuel</t>
  </si>
  <si>
    <t>Manuel Parodi</t>
  </si>
  <si>
    <t>s D. Martin Gutiérrez y Fernandez, y al de fusileros D. Ramón Duran; á Tenientes á los Subtenientes D. Manuel Parodi, D. Fernando Antonio Cambre y D. Josef López Portillo; á Subteniente de granaderos ál Cadete D. Manuel Estrada; á Subtenientes dé fusileros á los Cadetes D. Josef Félix Pedraja, D</t>
  </si>
  <si>
    <t>Pascual</t>
  </si>
  <si>
    <t>n del de Alcántara D. Josef de Calzada, graduado de Teniente Coronel: á Teniente en el de Algarbe á D. Pascual) de Molina; y á Portaestandarte en el de España ai Sargento primero D. Manuel Lebon. Asimismo se ha servido el Rey conferir el empleo de Coronel del regimiento de milicias provinc</t>
  </si>
  <si>
    <t>o, consiste en-lavar todos los días los pies, teniéndolos una hora en agua tibia; pero el expresado D. Pascual lo practicó cada segundo dia, con la diferencia, que en invierno duraban los pediluvios tod©¡ el espacio de,una hora antes de cenar, y en verano.solo inedia hora.á la mañana antes</t>
  </si>
  <si>
    <t>Pascual Ai</t>
  </si>
  <si>
    <t>as San Millan, D. Fernando Rugidos y á D. Rodrigo Flores Picón: en ei de Málaga á D. Manuel Moreno, D. Pascual Ai varez Campana y D. Rafael España y Chico: en el de Jaén á D. Carlos Marrugat: en el de Ordenes Militares á D. Joaquín González de Quevedo: en el de Voluntarios de Castilla á D. Ma</t>
  </si>
  <si>
    <t>Pascual Antillon</t>
  </si>
  <si>
    <t>a y D. Luis Gastón; y á Capitanes segundos á los Tenientes D. Luis Menendez, D. Ignacio Cincúnegui, D. Pascual Antillon, D. Joaquín Hidalgo, D. Joa'quin Lirón, D. Francisco Bermudez y D. Josef de Córdoba. En los regimientos provinciales ha promovido S. M. á Coronel del de Soria al Teniente Coronel</t>
  </si>
  <si>
    <t>Pascual Barradas, Antonio</t>
  </si>
  <si>
    <t>Antonio Pascual Barradas</t>
  </si>
  <si>
    <t>o al Supernumerario D. Antonio Arteaga; á supernumerarios al Brigadier D. Josef Guillen y al Cadete D. Antonio Pascual Barradas; á Brigadieres á los Subrigaáieres D. Roque Parrada y 1D. Manuel Pallares; á Subrigadieres á los Cadetes D. Manuel Mozota y D. Joaquín Soraviíia ; á Cadetes de numero á los supern</t>
  </si>
  <si>
    <t>Pascual Bayot, Antonio</t>
  </si>
  <si>
    <t>Antonio Pascual Bayot</t>
  </si>
  <si>
    <t>ido la penúltima plaza á D. Francisco Xavier de Amestoy, optando á la primera media, que este dexa, D. Antonio Pascual Bayot, y nombrado para la otra media, que este obtenía, á D. Antonio Solana. En consideración á los méritos y servicios de D. Josef Freixas y de Fals , vecino de la villa de Villanueva</t>
  </si>
  <si>
    <t>Pascual Carrasco, Pedro</t>
  </si>
  <si>
    <t>Pedro Pascual Carrasco</t>
  </si>
  <si>
    <t>as en los de Murcia y Ordenes Militares al Teniente de granaderos D. Josef Fernandez, y al Ayudante D. Pedro Pascual Carrasco, ambos graduados de Capitán: Tenencias en los de Cantabria y Asturias á los Subtenientes D. Mariano Ibañez y D. Cristóbal Bolaño; y Subtenencias de bandera en ei de la Princesa á</t>
  </si>
  <si>
    <t>Pascual Cobo Landeras</t>
  </si>
  <si>
    <t>l motivo que le forzó á hacerlo en esta ocasión. Villalazan , Obispado de Zamora , 13 de Setiembre* Don Pascual Cobo Landeras, Cura propio de dicho lugar, después de haber consultado varios Médicos, y practicado inútilmente muchos remedios para lograr la curación de una fuerte gota, que por tres y quatro</t>
  </si>
  <si>
    <t>Pascual de Churruca, Juan</t>
  </si>
  <si>
    <t>Juan Pascual de Churruca</t>
  </si>
  <si>
    <t>tenciario de ella: para unaCanongía Cardenalicia de la catedral de Orense, vacante por promoción de D. Juan Pascual de Churruca á la Abadía de Castroxeriz, dignidad de la metropolitana de Burgos, á D. Tomas Cid, Ra cionero mas antiguo de ella: para otra, también Car-* denalicia, de la propia iglesia, vacan</t>
  </si>
  <si>
    <t>Pascual de las Fuentes Ángulo</t>
  </si>
  <si>
    <t>nes que tienen, que es en bastante cantidad. 01 Ji i' ‘ ' Se convoca y TI aln a á lós acreedores de D. Pascual de las Fuentes Ángulo, vecino de esta corte , y á los de Doña Jiiar^a Chayarría, su difunta,mpger., para que en término de 30 días perentorios y precisos, contados desde la publicación de este aviso, c</t>
  </si>
  <si>
    <t>Pascual García Barona, Pedro</t>
  </si>
  <si>
    <t>Pedro Pascual García Barona</t>
  </si>
  <si>
    <t>D. Luis Vicente Montañés: para la de la villa de Uclés á D. Pedro Talsac: para la de Villahermosa á D. Pedro Pascual García Barona: para la de la Mota del Cuervo á D. Josef Antonio Martin Palomino, todas en el territorio de la Orden de Santiago, de primera clase 6 entrada, y las dos últimas de nueva creación:</t>
  </si>
  <si>
    <t>Pascual Presencia</t>
  </si>
  <si>
    <t>á D. Manuel Madera y D. Salvador Lobo y Orta, Cadetes de los de Burgos y Jaén; y en el de Aragón á D. Pascual Presencia, Sargento primero del mismo cuerpo.</t>
  </si>
  <si>
    <t>Pascual, Antonio</t>
  </si>
  <si>
    <t>Antonio Pascual</t>
  </si>
  <si>
    <t>Brigadieres á los Subrigadieres D. Vicente Bustamanre yD. Josef Puch; á Subrigadieres á los Cadetes D. Antonio Pascual y D. Josef Armendariz; á Cadetes de número á los Supernumerarios DoiL Ignacio Mora y D. Josef Pacheco; y á Supernumerario al Guardia Doík Josef de la Huerta. Para el empleo de Tenient</t>
  </si>
  <si>
    <t>Pascual, Joaquín</t>
  </si>
  <si>
    <t>Joaquín Pascual</t>
  </si>
  <si>
    <t>141-25 Joaquin Pascual................... Cuevas de Cañate.......... 141..25 Calixto Juárez...'.................. Toledo....................... 141-25 Lucas Fustes.......... ........</t>
  </si>
  <si>
    <t>Pascual, Juan Francisco</t>
  </si>
  <si>
    <t>Juan Francisco Pascual</t>
  </si>
  <si>
    <t>ial de Santa Cruz de la ciudad de Cuenca, vacante por fallecimiento de Don Miguel Martínez Marco, á D. Juan Francisco Pascual, con la carga que tiene anexa de alternar semanahnente con el Cura en la misa y funciones parroquiales: para los Beneficios de Arrancacépas y Viilalvilla, en el mismo obispado de</t>
  </si>
  <si>
    <t>Pastera, Cayetano</t>
  </si>
  <si>
    <t>Cayetano Pastera</t>
  </si>
  <si>
    <t>ndez, D. Ramón y D. Francisco de Velasco: Subtenencias de bandera al Sargento primero de granaderos D. Cayetano Pastera, y al Cadete D. Juan ¿«erafin Mayone; y en el de Málaga la Sargentía mayor al Capitán de granaderos del de .Extremadura, graduado de Teniente Coronel, D. Joaquín de Estrada. El Re</t>
  </si>
  <si>
    <t>Pastor, Juan Antonio</t>
  </si>
  <si>
    <t>Juan Antonio Pastor</t>
  </si>
  <si>
    <t>azeta núm. 92. El 21 de Octubre próximo pasado falleció en esta Corte, á la edad de 62 años, el Sr. D. Juan Antonio Pastor, Ministro del Consejo Real, habiendo servido á S. M. desde él año de 1772 en los empleos de Eiscal de la Real Audiencia de Asturias, de Alcalde de Real Casa y Corte, de Fiscal del</t>
  </si>
  <si>
    <t>Pastor, Pedro</t>
  </si>
  <si>
    <t>Pedro Pastor</t>
  </si>
  <si>
    <t>... 1 Teresa Blanco......... .................... r D. Tuan Miran................................ t D. Pedro Pastor y su criada........ 2 D, Joaquín Soler............................ 1 La viuda deD. Gregorio Campos. 1 Teresa Porceil....................... 1 Lorenza Perez...^......................</t>
  </si>
  <si>
    <t>de Octubre, pág. 965, lín. 18 , donde dice Don "Pedro Pastor .y su criada, debe decir Xa criada de D. Pedro Pastor. En la Gazeta núm. 88, de 2 del corriente, pág-‘977&gt; lín. 14, dice Don Pedro'E/ilsac.j léase D. Juan Pedro Talasac. Igualmente en la del núm. 89, pág. 99© , lín. 30, dice D. Anton</t>
  </si>
  <si>
    <t>Patino, Francisco</t>
  </si>
  <si>
    <t>Francisco Patino</t>
  </si>
  <si>
    <t>.......... 141..25. Francisco Patino.................. Polan............................... 141. •25 Manuel Puses...................... Carillena.......................... 141..25 Manuel López....................</t>
  </si>
  <si>
    <t>Patriarca Flangini</t>
  </si>
  <si>
    <t>, y guarnecerlos de la artillería necesaria. ^ Escriben de Venecia que S. E. el Patriarca Flangini tomó el dia i.° posesión de su silla, encargando á sus diocesanos diesen á los pobres lo que acostumbraban gastar en la pompa y magnificencia de este acto, y r</t>
  </si>
  <si>
    <t>Patriarca Griego</t>
  </si>
  <si>
    <t>ja á todas las demas en hermosura y grandeza: dentro de pocos dias celebrará el Patriarca Griego la consagración con toda la solemnidad posible. Los Armenios tienen también permiso de la Puerta para construir otra iglesia en el mismo arrabal. El Internuncio d</t>
  </si>
  <si>
    <t>Patricio Bayon</t>
  </si>
  <si>
    <t>evilla , Teniente del provincial de Avila ; á los Cadetes de Reales Guardias de infantería Española D. Patricio Bayon, D. Nicolás Sedaño y D. Francisco Cortés; como á los de la propia clase de los Regimientos de infantería del Rey , León y primero de Voluntarios de Aragón D. Quintín Velasco, D. J</t>
  </si>
  <si>
    <t>Patricio Fournier, Juan</t>
  </si>
  <si>
    <t>Juan Patricio Fournier</t>
  </si>
  <si>
    <t>arza, D. Josef Aznar y ¿.Francisco Simón Perez de Grandallana. A Alféreces de Navio los de Fragata' D. Juan Patricio Fournier, D. Luis Pedro Broysgroller, D. Carlos D’esmarest, D. Diego de la Vega, D. Josef de León, D. Luis Pardo, D. Josef Chacón, D. Martin de la Quintana, D. Cayetano Picado, Don Francis</t>
  </si>
  <si>
    <t>Patricio González</t>
  </si>
  <si>
    <t>ellán de la capilla parroquia castrense de la Real fábrica de armas blancas de Toledo al presbítero D. Patricio González. El Rey se ha servido nombrar para la plaza del Consejo Real, vacante por fallecimiento del Sr. D. Pedro Antonio Carrasco , al Sr. D. Josef Marquina Galindo,Ministro decano de la</t>
  </si>
  <si>
    <t>Patricio Kearney</t>
  </si>
  <si>
    <t>del regimiento de infantería de Ultonia al Capitán del mismo cuerpo, graduado de Teniente Coronel, D. Patricio Kearney: Compañía en el de Astúrias al Teniente de granaderos , graduado de Capitán, D. Ramón de Santiago: Tenencias en el de Borbon á los Subtenientes D. Pedro Champañac, D. Luis de Rant</t>
  </si>
  <si>
    <t>Patricio Pastor</t>
  </si>
  <si>
    <t>era clase los dos tomos de la física de los árboles de Duhamel á los alumnos D. Antonio de la Peña, D. Patricio Pastor, D. Josef Hervas y D. Josef Cabeza. Por premio de segunda clase se dio el tomo del mismo Duhamel sobre las siembras á D. Luis Nieto; y el de tercera clase , que consistía en el tr</t>
  </si>
  <si>
    <t>Patris</t>
  </si>
  <si>
    <t>le deba tener por sospechoso.” -'.n-; . . ' París 29_de'Marzo^'-l^y:n'\\- ■ El ciud. Patris , impresor del tribunal, criminal, va á imprimir el &gt;roceso de Jorge, Pichegru , el General Moreau y demas , á cuyo efecto f e comunicará el tribunal todas las</t>
  </si>
  <si>
    <t>Patterson</t>
  </si>
  <si>
    <t>periódico de Burdeos se lee el artículo siguiente: ,, Mr. Gerónimo Bonaparte, su esposa y su suegro Mr. Patterson, de Baltimore, han llegado el 12 de Junio á Nueva-Yorck. Se cree que emprenderán muy en breve un viage á Francia.” ESPAÑA. Valladolid 11 de Julio. La Real Sociedad económica de es</t>
  </si>
  <si>
    <t>Pau y Vanmarcke de Lumen, Alexandro</t>
  </si>
  <si>
    <t>Alexandro Pau y Vanmarcke de Lumen</t>
  </si>
  <si>
    <t>l dia to de Marzo de este año falleció en esta corte, á los 70 años y 6 }meses de edad, el Exc. Sr. D. Alexandro Pau y Vanmarcke de Lumen , 'Marques de Vahmárcke , Barón de DiependaaL, Caballero profeso dé la orden de Santiago, y Teniente General de ios Reales exércltos: empezó á servir á S. M. desde el año de 1746</t>
  </si>
  <si>
    <t>Paul</t>
  </si>
  <si>
    <t>s, traducido al francés de los Aforismos de Boerhaave ^comentados por el Barón dé1 Vanswietéñ , por Mr. Paul, Médico de las Academias de Mompeller y Marsella, y al castellano por D. Félix Galisteo y Xiorro, profesor de cirugía. Se hallará en la librería de Fernandez, frente á las gradas</t>
  </si>
  <si>
    <t>Paula</t>
  </si>
  <si>
    <t>e Córdoba. El dia &amp; deqMarzo último.falleció en;5£aragoza á los 53 años de edad, lfz ilustre Señora Doña Paula; M.elzi d’EriU, Mpncayo y Falafox, Mar</t>
  </si>
  <si>
    <t>Paulet, General</t>
  </si>
  <si>
    <t>General Paulet</t>
  </si>
  <si>
    <t>s, y la mayor parte han encallado en la playa vecina al puerto. La actividad y zelo infatigable del General Paulet, comandante de Sables, ha podido preservar ce la muerte á los marineros que tripulaban los últimos. Toda la tropa y el vecindario, á exemplo del General, han socorrido, curado y a</t>
  </si>
  <si>
    <t>Pauli</t>
  </si>
  <si>
    <t>Mr. de Loe, y tuvo el honor de sentarse á la mesa al lado de la Emperatriz. París 14 de Setiembre. Mr. Pauli, artista muy inteligente, ha construido un globo aerostático, el qu ai dirige y mueve á su arbitrio, subiéndolo y baxándelo con suma facilidad por medio de una máquina sencilla, y</t>
  </si>
  <si>
    <t>Paulin, Manuel</t>
  </si>
  <si>
    <t>Manuel Paulin</t>
  </si>
  <si>
    <t>ervido S. M. conceder en el regimiento de* infantería de Cantabria Subtenencia de bandera al Cadete D. Manuel Paulin. En el regimiento de infantería Suizo , vacante de SchwaUer, se ha Servido S. M. promover á Ayudante al Teniente O. Felipe Froette; y en el de Reding á Subtenientes á los Cadetes</t>
  </si>
  <si>
    <t>Paulina Bonaparte</t>
  </si>
  <si>
    <t>un mar. Roma 5/ de Diciembre, Han llegado á esta ciudad el Príncipe D. Gamilo Borghese y su esposa Doña Paulina Bonaparte. Al dia siguiente se presentó el Príncipe al Sro. Paire, y pocos dias después su esposa. Fue recibida de S. S. con suma distinción , no en el jardín, como á otras señoras , sino e</t>
  </si>
  <si>
    <t>Pavón y Muñoz, Bernardo</t>
  </si>
  <si>
    <t>Bernardo Pavón y Muñoz</t>
  </si>
  <si>
    <t>Guatemala, vacante por promoción de L). Antonio García Redondo á la dignidad de Tesorero de ella, á Don Bernardo Pavón y Muñoz, Provisor, Vicario y Juez metropolitano. En el regimiento de dragones de Buenos-Ayres se ha servido el Rey promover á Capitán efectivo al agregado D. Vicente Caravallo y Goyeneche</t>
  </si>
  <si>
    <t>Pawlowna, María (duquesa)</t>
  </si>
  <si>
    <t>Duquesa María Pawlowna</t>
  </si>
  <si>
    <t>posorio de la Gran Duquesa María Pawlowna con el Príncipe hereditario de Saxonia-Weymar. . , A El Conde de S. Priest es uno de los 6 nuevos Gentileshombres de Cámara nombrados Chambelanes con ocasión de la boda de la Gran</t>
  </si>
  <si>
    <t>Paxarero, Manuel</t>
  </si>
  <si>
    <t>Manuel Paxarero</t>
  </si>
  <si>
    <t>Fernandez,, Sargen­ Manuel Paxarero.................. Navalmoral......... 141-25 to segundo....................... Albacete................ . 425- 6 Miguel López.............</t>
  </si>
  <si>
    <t>Pazos y Mella, Gabriel</t>
  </si>
  <si>
    <t>Gabriel Pazos y Mella</t>
  </si>
  <si>
    <t>Guardias; Marinas siguientes, En Ia. fecha. D. Mateo.Albornoz y Calafat, D. Joaquín Talón y Jalón , D. Gabriel Pazos y Mella, D. Alvaro'Rodríguez de Cela, Di Joaquín Bocalan y Vázquez , D. Juan (üródóy y Castró1; D.áNicolastdel Rio Nogúerido, D. Tomas Cisca r y Orióla y D. Sébastiáiír:Bufler y Henriquez</t>
  </si>
  <si>
    <t>Pecoso, Luis</t>
  </si>
  <si>
    <t>Luis Pecoso</t>
  </si>
  <si>
    <t>entes D. Jacobo Blanco, D. Pedro María Ayora, D. Claudio Martínez, D. Cristóbal del Solar de Celis, D. Luis Pecoso, D. Fernando Mateos, y al Capitán reformado D. Vicente Gómez del Mercado: á Tenientes en los de Sevilla y Xerez á los Subtenientes D. Josef María Martínez y D. Mariano Rodríguez:</t>
  </si>
  <si>
    <t>Pedro Tomás</t>
  </si>
  <si>
    <t>s. El Dr. D. Josef Alearaz............ i Sarrio..... .......... 2 D. Rafael Álcaraz............ . 1 D. Pedro Tomas.................... 1 Doña María Alcaraz................ * Margarita González....................... 1 Rosa Izquierdo................ .......... * María Coder.....................</t>
  </si>
  <si>
    <t>Pedro'E</t>
  </si>
  <si>
    <t>cir Xa criada de D. Pedro Pastor. En la Gazeta núm. 88, de 2 del corriente, pág-‘977&gt; lín. 14, dice Don Pedro'E/ilsac.j léase D. Juan Pedro Talasac. Igualmente en la del núm. 89, pág. 99© , lín. 30, dice D. Antonio Vatere , léase 2&gt;. Andrés Antonio komero y Valdes. Oficio de la Semana Santa</t>
  </si>
  <si>
    <t>Pedro- de Soria</t>
  </si>
  <si>
    <t>141-25 Pedro- de Soria...................... Bijuesca..................... ...... 141..25 Sebastian Fray le................. . Torres........................... 141-25 Elias García...............</t>
  </si>
  <si>
    <t>Pedro- Jóséf de Navarro</t>
  </si>
  <si>
    <t>oña Catalina Antonia de Navarro, que falleció en dicha ciudad el o de Marzo-de .dicho, año, hija de D. Pedro- Jóséf de Navarro, y nieta"de D. Francisco Antonio Navarro, Mayor General que fué al servicio de la casa de Austria, y Gobernador de Ja expresada ciudad de Malinas, viuda de D. Daniel Segismundo de</t>
  </si>
  <si>
    <t>Pedron, Coronel</t>
  </si>
  <si>
    <t>Coronel Pedron</t>
  </si>
  <si>
    <t>uestras tro-: pas se han apoderado de Coél: el General Perón se había retirado á Agrá, confiando al Coronel Pedron la defensa de Ally-Ghur.—Según anuncia un pliego de Bombay el General Perón se ha rendido, y dispersado su exército. Los ingleses han entrado en Delhi y en Agrá. , Se asegura que el gob</t>
  </si>
  <si>
    <t>PedroUgarte</t>
  </si>
  <si>
    <t>................. p68.. 8 Agustin Gómez........... ........ Tembleque..................... . 141-25 D. PedroUgarte, Sargento 1. 1 Medina del Campo........ 566-14 Manuel Moreno................... Toledo............................. 141-25 Rufino Carrasco, Cabo...... . Montalvan.................</t>
  </si>
  <si>
    <t>Pedrp</t>
  </si>
  <si>
    <t>emo de Castilla, juez jen virtud ,de Real orden de la ocurrencia de acreedores a los bienes del $r. D. Pedrp de ^sr trearena, Marques que fué de Murillo , se. fian señalado los días 23,24 , 25; y 2¿ de Mayo próximo , á las 5 de su tarde, para tener la general en la pieza qpntajduría del pat</t>
  </si>
  <si>
    <t>Pelaez Caunedo, Felipe</t>
  </si>
  <si>
    <t>Felipe Pelaez Caunedo</t>
  </si>
  <si>
    <t>e acaba de concederle el Rey nuestro Señor, que Dios guarde, a solicitud é instancias del limo. Sr. D. Felipe Pelaez Caunedo, Obispo y Señor de esta ciudad, incorporándolo á la universidad de Santiago, con asistencia de dicho Sr. limo, y personas de todos los cuerpos y de distinción, que al efecto habia</t>
  </si>
  <si>
    <t>Pelaez, Francisco</t>
  </si>
  <si>
    <t>Francisco Pelaez</t>
  </si>
  <si>
    <t>ez de la Madrid ; el de Alférez al Portaestandarte D. Josef María Uztariz; y esta resulta áí Cadete D. Francisco Pelaez. Asimismo ha nombrado S. M. Viréy , Gobernador y Capitán general de las provincias del Rio de la Plata con la Presidencia de la Real Audiencia de Buenos-Ay res, al Mariscal de Cam</t>
  </si>
  <si>
    <t>Pelaez, Miguel</t>
  </si>
  <si>
    <t>Miguel Pelaez</t>
  </si>
  <si>
    <t>. Patrias. Rs. mrs, T.?PE CKANADEROS. Pedro Pita............... . , Santiago de Sargadelos— J41..25 D. Miguel Pelaez.Capitán,, Asturias, 2904-25 D. Ramón Campos.... Badajoz.-.......... ................. Antonio Rebolloso, Sargen­ Francisco Martin....... lorrede las Arcas.......... 141-25 to prim</t>
  </si>
  <si>
    <t>Pelayo</t>
  </si>
  <si>
    <t>ona en la de Echterling, y en Salamanca en la de Reyes. Historia fabulosa del distinguido Caballero D. Pelayo, infanzón de la Vega, Quixote de la Cantabria, por D. Alonso Bernardo Ribero y Larrea: 2 tomos enf ®,, con una estampa fina. Se vende en la librería de Ranz , calle de la Cruz. In</t>
  </si>
  <si>
    <t>Pelayo Correa</t>
  </si>
  <si>
    <t>pitán primero del primero , graduado de Teniente Coronel; á Capitán primero del primer regimiento á D. Pelayo Correa, Capitán segundo del tercero, y á Capitán segundo del tercer regimiento á. D.. Antonio González, Teniente de á caballo del segundo.. En América. El Rey se ha servido nombrar para</t>
  </si>
  <si>
    <t>Pelayo Tolrá, Carlos</t>
  </si>
  <si>
    <t>Carlos Pelayo Tolrá</t>
  </si>
  <si>
    <t>odrigo, Logroño, Ciudad-Real y Segovia á D. Josef María Viguera, D. Félix Mateo Rodríguez Aparicio, D. Carlos Pelayo Tolrá, D. Juan Hidalgo y D. Manuel Eduardo Gorostiza y Cepeda. Por Escribanía de la Cámara y de Gobierno del Consejo Real se ha comunicado, con fecha de 28 de Junio, la circular siguien</t>
  </si>
  <si>
    <t>Peleguer, Manuel</t>
  </si>
  <si>
    <t>Manuel Peleguer</t>
  </si>
  <si>
    <t>arj tes, por la limpieza, 'gráJnde2a‘; elegancia y por la propiedad de Jas imágenes gra! badas por D. Manuel Peleguer , Teniente Director dé ánibás grabados en la Academia de Sf Cirios. Se vende «sta ob#a „comph*ta ¿si} el-^pnventb de S. Hermene</t>
  </si>
  <si>
    <t>Pelham, Lord</t>
  </si>
  <si>
    <t>Lord Pelham</t>
  </si>
  <si>
    <t>ndres 11 de Junio. El Lord M'dgrave ha sido nombrado Canciller del Ducado de Lancaster en lugar del Lord Pelham, Varios papeles públicos han anunciado positivamente que iba á salir muy pronto uña expedición contra el Cabo de Buena-Esperanza; pero nosotros, en honor de la verdad, debemos ase</t>
  </si>
  <si>
    <t>Peña, Francisco</t>
  </si>
  <si>
    <t>Francisco Peña</t>
  </si>
  <si>
    <t>Obispo que fué de Málaga, tasadas en '7$,997rs. 17mrs., verificado en favor de Francisco Peña , vecino de dicha villa,en 51,roo rs. á' pagar en moneda metálica; cuyas tierras, con expresión de sus sitios, linderos y respectivas tasaciones de cada una, son las siguicnies: primeramen</t>
  </si>
  <si>
    <t>Pepis, Lucas</t>
  </si>
  <si>
    <t>Lucas Pepis</t>
  </si>
  <si>
    <t>en S.. James del estado de la salud de S. M. es í mas favorable que los anteriores. Se ha llamado á Sir Lucas Pepis y al Dr. Reynolds,por recomendación del Consejo de Gabinete, para asistir á S. M., y tuvieron ayer una junta con Sir Francis Miliman y el Dr. Heberden, y todos juntos visitaron á S.</t>
  </si>
  <si>
    <t>Perarnau, Sebastián</t>
  </si>
  <si>
    <t>Sebastián Perarnau</t>
  </si>
  <si>
    <t>4.0 de S. Miguel, vacante en la catedral de Barcelona por fallecimiento de D. Antonio Monserrat, á D. Sebastian Perarnau: para la Dignidad de Sacristán mayor de la colegial de Monzon, en la diócesis de.Lérida* á Don</t>
  </si>
  <si>
    <t>Percier</t>
  </si>
  <si>
    <t>el taller de Mr. Getting, maestro de coches de S. M. I. Los diseños de esta soberbia carroza son de Mr. Percier , arquitecto del Emperador,y toda la obra se hace baxo la dirección del General Caulincourt, Caballerizo mayor. El cuerpo de la caxa está adornado de frisos llenos de medallones,</t>
  </si>
  <si>
    <t>Pereda, Tomás</t>
  </si>
  <si>
    <t>Tomás Pereda</t>
  </si>
  <si>
    <t>Antonio Cordero j D. Josef Hervas, D. Josef del Campo,. Don Manuel Ibañez, D-. Francisco Apliegas , D. Tomas Pereda, D. Santiago Mela, D. Manuel Pozo Cáceles y D. Gerónimo Mauricio Buey. El primer premio consistía en la obra de Adam Smith sobre la investigación de la naturaleza,y causas de la r</t>
  </si>
  <si>
    <t>Perero, Manuel</t>
  </si>
  <si>
    <t>Manuel Perero</t>
  </si>
  <si>
    <t>tomos en 4.0 2.0: Don Antonio Palacio: Eximen marítimo de D. Jorge Juan, 2. tomos en 4.0 Accessit: D. Manuel Perero: Verdejo, Elementos de matemáticas___ Física experimental. i.°: D. Juan Alvarez Acevedo: Muschembroek, Curso de física, 3 tomos en 4.0 mayor. 2.0: D. Serapio de la Hormaza: Brison</t>
  </si>
  <si>
    <t>Pereyra, Manuel</t>
  </si>
  <si>
    <t>Manuel Pereyra</t>
  </si>
  <si>
    <t>del Despacho, al Sr. Gobernador del Consejo, para que oyendo á los Médicos de Cámara D. Juan Gamez, D. Manuel Pereyra y demas de su confianza, informase lo que se le ofreciese con relación al estado de dichas enfermedades y sus progresos; en cuya conseqiiencia hizo citar á los referidos dos profesores</t>
  </si>
  <si>
    <t>de las Hormazas, Teniente de Hermano mayor de los mismos, y de los Médicos de Cámara D. Juan Gamez, D. Manuel Pereyra y D. Juan Bautista Soldevílla, que se publico en la gaVeta de 6 del corriente, núm. 19, con inserción de la certificación que dieron dichos profesores del buen estado en que hallaron</t>
  </si>
  <si>
    <t>Pérez Bustillo, Miguel</t>
  </si>
  <si>
    <t>Miguel Pérez Bustillo</t>
  </si>
  <si>
    <t>Tesorería á D. Juan Bautista Quin de Baldovinos, también Canónigo de éíla; y para estas Canongías á D. Miguel Perez Bustillo y D. Baltasar de Amarilla , Curas de la misma iglesia: para la Canongía magistral de la del Cuzco, vacante por ascenso de D. Francisco Xavier de Andazabal á la Dignidad de Tesorero de</t>
  </si>
  <si>
    <t>Pérez Cortes, Francisco</t>
  </si>
  <si>
    <t>Francisco Pérez Cortes</t>
  </si>
  <si>
    <t>Ca.samayorj, y en los del Inmemorial del Rey , Granada y Murcia á los Cadetes Don Manuel de Vareas, D. Francisco Perez Cortes y D. Juan Nepomuceno de Les, todos de los misinos cuerpos, excepto el último que lo es del de Jaén. En atención á los servicios y mérito de D.. Juan de Aireco, Teniente 'Coronel del R</t>
  </si>
  <si>
    <t>Pérez de Tejada, Vicente</t>
  </si>
  <si>
    <t>Vicente Pérez de Tejada</t>
  </si>
  <si>
    <t>rolon y compañía. En Valladolid.......D. Francisco de Durango é hijo mayor. &gt; En Zamora...... ..... D. Vicente Perez de Tejada. En Zaragoza....... . D. Tomas de la Madrid. En Zeuta............ . D. Pedro Huguet, comisionado subalterno del de Cádiz. Él Consejo, á consulta de la Comisión gubernativa de Cons</t>
  </si>
  <si>
    <t>sco Peyrolon y compañía. En Valladolid......D. Francisco Durango é hijo mayor. En Zamora........... D. Vicente Perez de Tejada. En Zaragoza."..". D. Tomas de la Madrid. : ' 4 En Z¿uta...." D. Pedro Huguet , comisionado subalterno del de Cádiz. ■ ■* El Consejo, á consulta de la Comisión gubernativa de Cons</t>
  </si>
  <si>
    <t>Pérez del Camino, Luis</t>
  </si>
  <si>
    <t>Luis Pérez del Camino</t>
  </si>
  <si>
    <t>onio Osorio, D. Manuel Alyarez, D. Bartolomé Pita Daveyga, D. Luis de los Ríos, D. Francisco Calvo, D. Luis Perez del Camino, D. Gonzalo Gómez, D. Antonio Quintano, D. Josef Montaibo, D. Pedro García, Don j» an de San Llórente, D. Manuel Pardo Rivadeneyra, D. Josef de Miranda, D.. Francisco Díaz Melende</t>
  </si>
  <si>
    <t>Pérez del Villar, Francisco</t>
  </si>
  <si>
    <t>Francisco Pérez del Villar</t>
  </si>
  <si>
    <t>á Tenientes de fusileros de los de Lnjalance, Tu y v eiudad-Realá los Subtenientes D. Joset Muñoz. D. Francisco Perez del Villar y D. ManueJ Mexía; y á Subteniente de bandera del de Xerez al Cadete D. Domingo Sarga. A conseqüencia de la visita que de orden del'Rey, comunicada por el Sr D Pedro Cevallos , primer</t>
  </si>
  <si>
    <t>Pérez Díaz, Miguel</t>
  </si>
  <si>
    <t>Miguel Pérez Díaz</t>
  </si>
  <si>
    <t>cumentos que tengan por conveniente, que presentarán en la escribanía del Ayuntamiento del cargo de D. Miguel Perez Diaz,,por sí ó por medio de apoderado ó encargado , desdé hoy hasta fin dé Junio próximo-, en inteligencia de que en i.° de Julio siguiente se ha de dar principio á los-exercicios en q</t>
  </si>
  <si>
    <t>Pérez Galvez, Francisco</t>
  </si>
  <si>
    <t>Francisco Pérez Galvez</t>
  </si>
  <si>
    <t>ministradores nombrados, lo qué se hace presente al público , y .tam* bien que por indisposición de D. Francisco Perez Galvez, administrador general en Málaga para la recaudación de los caudales , se ha nombrado á D. Miguel Ribas Infante, del comercio de dicha-ciudad. &lt; Gon el fin de que los sordos pueda</t>
  </si>
  <si>
    <t>Pérez Martínez, Manuel</t>
  </si>
  <si>
    <t>Manuel Pérez Martínez</t>
  </si>
  <si>
    <t>Subteniente de granaderos D. Antonio Estrada ; y ¿ Subteniente de bandera en el de Burgos al Cadete D. Manuel Perez Martínez. En los regimientos de infantería Suizos ha nombrado el Rey Subtenientes: en el de Schwaller al Cadete D. Víctor Antonio Glutz: en el ambulante de Ruttimán al Cadete D. Santos Cre</t>
  </si>
  <si>
    <t>Pérez Percebal, Vicente</t>
  </si>
  <si>
    <t>Vicente Pérez Percebal</t>
  </si>
  <si>
    <t>ión los primeros. El R e.jc se ha servido ascender á Mariscal deCampo de sus exércitos al Brigadier D. Vicente Perez Percebal, que era segundo Teniente de la Compañía Americana del Real cuerpo de Guardias de Corps; y ha promovido en iá misma Compañía á este empleo al Alférez Marques de Lazan;. á Alférez</t>
  </si>
  <si>
    <t>Pérez Tafalla, Juan Miguel</t>
  </si>
  <si>
    <t>Juan Miguel Pérez Tafalla</t>
  </si>
  <si>
    <t>iendo con el hábito de Santiago; y para la que resulta en la expresada Orden de Calatrava, nombro á D. Juan Miguel Perez Tafalla, Canónigo y Maestrescuela de la Iglesia Metropolitana de Sevilla. Tendráse entendido en la Cámara para su cumplimiento en la parte-que la toca. En S. Lorenzo á de Noviembre de 180</t>
  </si>
  <si>
    <t>Pérez Valdes, Manuel</t>
  </si>
  <si>
    <t>Manuel Pérez Valdes</t>
  </si>
  <si>
    <t>nadores y Asesores ordinarios de los Gobiernos é Intendencias de Guanajuato, Maracaybo y Arequipa á D. Manuel Perez Valdes, D. Leonardo del Monte y D. Antonio Luis Pereyra; y para Tenientes de Gobernador y Auditores de Guerra de Popayan y de la Comandancia general de las provincias internas de Nueva-F</t>
  </si>
  <si>
    <t>Pérez, Andrés</t>
  </si>
  <si>
    <t>Andrés Pérez</t>
  </si>
  <si>
    <t>bandera á los Cadetes D. Josef Gregorio Castilla y D. Josef Cayetano Sastre, y al Sargento primero D. Andrés Perez. En el de infantería de Cuba ha conferido S. M. la Tenencia Coronela á D. Josef de Soto, Comandante del tercer batallón, y esta resulta al Capitán, graduado de Teniente Coronel, D</t>
  </si>
  <si>
    <t>Pérez, Antonio</t>
  </si>
  <si>
    <t>Antonio Pérez</t>
  </si>
  <si>
    <t>oyeneche; á Ayudante al-Teniente D. Juan Manuel Marín; á Tenientes á los Alféreces D. Manuel Perez, D. Antonio Perez, D. Blas Pintos y D. Juan Bartolomé Rondeau; á Alféreces á los Portaguiones D. Salvador Moreyra y D. Juan Francisco Zamudio; á los Cadetes D. Josef María Escovar,</t>
  </si>
  <si>
    <t>Pérez, Felipe</t>
  </si>
  <si>
    <t>Felipe Pérez</t>
  </si>
  <si>
    <t>o de D. Manuel Azcona, y haber muerto sin posesionarse dé ella D. Juan Manuel Saenz de Manjarres, á D. Felipe Perez, individuo de la Real Capilla. S. M. se ha servido nombrar para un Beneficio de la Parroquia de Alcober, en el Arzobispado de Tarragona, vacante por promoción de Don</t>
  </si>
  <si>
    <t>Pérez, Félix</t>
  </si>
  <si>
    <t>Félix Pérez</t>
  </si>
  <si>
    <t>ef dé la Rocque y Urrutia; y á Capitán segundo en el batallón de Voluntarios de Navarra ai Teniente D. Félix Perez. Por providencia del Sr. D. Diego Gil Fernandez, del Consejo de S. M., Alcalde de su Real casa y corte, se han mandad® sacar nuevamente á pública subasta varias tierras , sitas en</t>
  </si>
  <si>
    <t>Pérez, Francisco</t>
  </si>
  <si>
    <t>Francisco Pérez</t>
  </si>
  <si>
    <t>unicarle asuntos de importancia; este interesado acudirá por sí ó por apoderado en Madrid á casa de D. Francisco Perez , calle de Hortaleza, fábrica- de fideos. Fontes legum xn tabularum. Legislatio Romuli etNuinae. Leges sacratae. Draconis et Solonis atheniensium principum placita. Fragmenta et p</t>
  </si>
  <si>
    <t>........... 141. 25 Francisco Perez.................... Sevilla................... 141 Domingo Morales................ Lorca.................... .. 141. •25 6.a d</t>
  </si>
  <si>
    <t>141-25 Francisco Perez................... Sta. María de Guadalupe. 129..30 Frandsco Martiriez............ Mota de! Cuervo........... 141-25 Alexandro Guerrero.......</t>
  </si>
  <si>
    <t>Pérez, Ignacio</t>
  </si>
  <si>
    <t>Ignacio Pérez</t>
  </si>
  <si>
    <t>í 2^0 rs. Otra en término de Fuente el Saz, en Capitos , de 1 fanega, linde á oriente capellanía de D. Ignacio Pérez, á mediodía herederos de Pedro López Adan, y á poniente D. Josef de Ribas , en 120 rs. Otra en dicho término en la Vega, de 2 fan. y 6 cel. , linde á oriente herederos de Juana He</t>
  </si>
  <si>
    <t>Pérez, Juan</t>
  </si>
  <si>
    <t>Juan Pérez</t>
  </si>
  <si>
    <t>2904.. 2 5 Juan Perez............................ S. Pablo............................... 14 D. Manuel Villaverde, Sar­ Juan Caro.............................. Dos barrios........................ 1^</t>
  </si>
  <si>
    <t>Pérez, Juan Diego</t>
  </si>
  <si>
    <t>Juan Diego Pérez</t>
  </si>
  <si>
    <t>ente Ximeno , graduado de Teniente, D. Josef Revest y Lassala, D. Manuel de Torres, D.Diego Marques,D. Juan Diego Perez y D. Manuel Sánchez; y Subtenencias de bandera en el de Extremadura al Sargento primero de granaderos D. Vicente Flores, y en el propio cuerpo y los de la Princesa y Málaga á los Cade</t>
  </si>
  <si>
    <t>Pérez, Manuel</t>
  </si>
  <si>
    <t>Manuel Pérez</t>
  </si>
  <si>
    <t>primero al Teniente de cazadores D. Diego Antonio Sanchezj á Teniente de cazadores al de fusileros D. Manuel Perez; á Tenientes á los Subtenientes D. Juan de Arguelles y D. Francisco de las Piedras; á Subtenientes á los segundos Ayudantes D. Pedro Junco y D. Alejandro Alvarez Guitian , y á Ayu</t>
  </si>
  <si>
    <t>nte Caravallo y Goyeneche; á Ayudante al-Teniente D. Juan Manuel Marín; á Tenientes á los Alféreces D. Manuel Perez, D. Antonio Perez, D. Blas Pintos y D. Juan Bartolomé Rondeau; á Alféreces á los Portaguiones D. Salvador Moreyra y D. Juan Francisco Zamudio; á los Cadetes D. Josef María Escovar</t>
  </si>
  <si>
    <t>l Rey promover á Capitanes al Ayudante primero D. Diego Antonio Sánchez, y al Teniente de cazadores D. Manuel Perez; á Teniente de cazadores al de fusileros D. Diego Basilio de la Chica ; á Teniente de fusileros ai Subteniente D. Erancisco Guelvenzu; á Subtenientes á los Cadetes D. Tomas Sarasa</t>
  </si>
  <si>
    <t>Pérez, Santiago</t>
  </si>
  <si>
    <t>Santiago Pérez</t>
  </si>
  <si>
    <t>........... 141..25 Santiago Perez.................... . Cebesa............................ 141 .25 Manuel Savvdra.................... Mora............. ....................... »4'-25 Manuel Román........</t>
  </si>
  <si>
    <t>141-25 Santiago Perez...................... Ontamar.......................... 141..25 Mariano Muñoz................... Tarancon....... 141-22 Agustin Muñoz...................</t>
  </si>
  <si>
    <t>Pérez, Vicente</t>
  </si>
  <si>
    <t>Vicente Pérez</t>
  </si>
  <si>
    <t>Rs. mrs. Vicente Pérez.,.;........... *.... Villafeliche... 141. ■35 Nicolás González................ Puebla de,Montalban.... 141 ..15 Calixto Rui;:..... .i»</t>
  </si>
  <si>
    <t>ncia d¿l Real servicio y público. Prontuario del Canto-jUano Gregoriano , dispuesto y arreglado por D. Vicente Perez, para celebrar los divinos oficios. El tomo i.° contiene las Antífonas é Himnos de vísperas de todas las Dominicas y Ferias del año , con las Conmemoraciones comunes y las Complet</t>
  </si>
  <si>
    <t>Perón, General</t>
  </si>
  <si>
    <t>General Perón</t>
  </si>
  <si>
    <t>ian que el General Lake ha empezado felizmente su campaña. El 2.9 de Agosto acometió las fuerzas el General Perón (francés}, quien se había fortificado cerca del fuerte de Ally-Ghur. Esta operación tuvo feliz éxito, y, según parece, el enemigo no hizo, mucha resistencia. En otra pliego de 30</t>
  </si>
  <si>
    <t>Pestalozzi</t>
  </si>
  <si>
    <t>emanes, Dinamarqueses y Suecos, que han venido á visitar el célebre establecimiento de educación de Mr. Pestalozzi, trasladado últimamente, por orden de nuestro gobierno,-de Burgdoríf á Buchsee. El método de este sabio institutor de la niñez va de día ¿n día recibiendo nueva sanción de la expe</t>
  </si>
  <si>
    <t>sancionado asimismo el proyecto relativo ai establecimiento de un parque de artillería. Al célebre Mr. Pestalozzi se le han hecho últimamente proposiciones ventajosas para ir á establecerse en Livonía, donde desean con el mayor anhelo que se funde una escuela, como la que este sabio respetabl</t>
  </si>
  <si>
    <t>Petit, Gregorio</t>
  </si>
  <si>
    <t>Gregorio Petit</t>
  </si>
  <si>
    <t>eras, a B. Francisco Manellay Surroca. El Rey se ha servido promover a Brigadier de sus. exerotos a Don Gregorio Petit, que era Exento de la Compañía Flamenca de Reales GU En'la propia ¡Compañía ha conferido empleo de Exento de número al Supernumerario D. Joaquín de la Cerda, y de Supernumerario a</t>
  </si>
  <si>
    <t>Peyer, Carlos</t>
  </si>
  <si>
    <t>Carlos Peyer</t>
  </si>
  <si>
    <t>anaderos al de fusileros D. Josef Niderberger, y Teniente de fusileros al Subteniente de granaderos D. Cárlos Peyer. S. M. se ha servido promover á Capitán segundo de las Compañías ftxas de Artillería de la plaza de Ceuta á D. Matías Berguilla, Teniente de la Compañía fixa de Mallorca ; y á Ten</t>
  </si>
  <si>
    <t>Peyer, Francisco</t>
  </si>
  <si>
    <t>Francisco Peyer</t>
  </si>
  <si>
    <t>ing al de fusileros D. Josef Vorster: á Tenientes en el de Traxler á los Subtenientes de granaderos D. Francisco Peyer y D. Víctor Ackerman: á Subtenientes de bandera, en el de Saboya, á D. Pablo Bernardo Quitos y D. Pedro Rosales; y en el dé Mallorca á D. Gerónimo Valladares y D. Agustín Bueno y Brui</t>
  </si>
  <si>
    <t>Peyrolon, Francisco</t>
  </si>
  <si>
    <t>Francisco Peyrolon</t>
  </si>
  <si>
    <t>......... Sres. Chavarri y Posadillo. En Toro.............. D. Joseph Ligero. En Valencia.......... D. Francisco Peyrolon y compañía. En Valladolid.......D. Francisco de Durango é hijo mayor. &gt; En Zamora...... ..... D. Vicente Perez de Tejada. En Zaragoza....... . D. Tomas de la Madrid. En Zeuta.......</t>
  </si>
  <si>
    <t>res. Chavárri y Posadíllól En Toro................ D. Joseph Ligero. ■'■•h En Valencia....... Sres. D. Francisco Peyrolon y compañía. En Valladolid......D. Francisco Durango é hijo mayor. En Zamora........... D. Vicente Perez de Tejada. En Zaragoza."..". D. Tomas de la Madrid. : ' 4 En Z¿uta...." D. Pe</t>
  </si>
  <si>
    <t>Pezzoni, Antonio</t>
  </si>
  <si>
    <t>Antonio Pezzoni</t>
  </si>
  <si>
    <t>profesor público de matemática sublime en la universidad de.Pavía,y tra¡» ducido al castellano por D. Antonio Pezzoni. Se vende en la librería de Escribano, calle de las Carretas, 4"2 rs. Lo que ha de ser : comedia de Lope de Vega, y quinta de las de la colección que de este autor se está imprimi</t>
  </si>
  <si>
    <t>Philippo Roxo de Flores</t>
  </si>
  <si>
    <t>dem juris studiosorum coriimodo, necnon atnoeniorí dpctrinae vindicant, diligenti curS conquisita á D. Philippo Roxo de Flores, regio fisci patrono in provincia Zamorcnsi. Opus Excellentissimo D. D. Michaeli Cajetano Soler hujus nutu ac propitiatione dicatum. Esta exacta compilación, enriquecida con monum</t>
  </si>
  <si>
    <t>Piazzi</t>
  </si>
  <si>
    <t>ación mas interesante, ó la memoria mas útil á los progresos de la astronomía, ha sido adjudicado á Mr. Piazzi, astrónomo de Palermo, conocido por el descubrimiento del planeta. Ceres, y por un gran catalogo de estrellas'que ha publicado hace poco tiempo. Después se leyéron varias memorias</t>
  </si>
  <si>
    <t>Picado, Cayetano</t>
  </si>
  <si>
    <t>Cayetano Picado</t>
  </si>
  <si>
    <t>t, D. Diego de la Vega, D. Josef de León, D. Luis Pardo, D. Josef Chacón, D. Martin de la Quintana, D. Cayetano Picado, Don Francisco Villavicencio, D. Luis de Basave, D. Francisco de la Lastra, D. Felipe Saavedra, D. Josef Melgares, D.. Alonso Ramírez , D. Antonio Osorio, D. Manuel Alyarez, D. Ba</t>
  </si>
  <si>
    <t>Pico de Haedo, Félix</t>
  </si>
  <si>
    <t>Félix Pico de Haedo</t>
  </si>
  <si>
    <t>or en esta villa, por la escribanía del número de D. Juan Manuel López Fando, que actualmente sirve D. Félix Pico de Haedo. , „ , c . . , 1 / Una casa, sita en estü'corte en la calle de Sfa. Ana, señalada con el num. 5 de la manzana , que contiene 5278I pies de sitio , t-asaaa en 9*5,82 * rs., y remat</t>
  </si>
  <si>
    <t>e Corregidor de esta villa, y escribanía de numero de D. Juan López Fando, y que actualmente exerce D. Félix Pico de Haedo, en virtud de Real habilitación, se han mandado sacar á pública subasta, por término de 15 dias, las tierras que están situadas en el del lugar de Majadahonda y parages siguientes</t>
  </si>
  <si>
    <t>Pico, Ramón Antonio</t>
  </si>
  <si>
    <t>Ramón Antonio Pico</t>
  </si>
  <si>
    <t>z............... D. Benito de la Piedra. En Cartagena........D. Manuel de Ozores. En Ciudad-Real... D. Ramón Antonio Pico. En Córdoba..,.,.,,.. Sres. Barcia padre é hijo. En la Coruña........ D. Manuel Antonio Elzaurdi. En Cuenca..............Sres. viuda de Escolar y Noriega é hijo. En Granada.......</t>
  </si>
  <si>
    <t>iz.............. D. Benito de la Piedra. En Cartagena....... D. Manuel de Ozores. En Ciudad-Real... D. Ramón Antonio Pico. En Córdoba...... . Sres. Barcia padre é hijo. En la Coruña...... D. Manuel Elzaurdi. En Cuenca............ Sres. viuda de Escolar y Noriega ¿ hijo* En Granada........ D. Francisc</t>
  </si>
  <si>
    <t>Pico, Tomás</t>
  </si>
  <si>
    <t>Tomás Pico</t>
  </si>
  <si>
    <t>................ 141-25 Ia pri a.° Pascual Serran........... Muros--....................... 141..25 D. Tomas Pico, Subteniente. En la Havana..... 484.. 4 Frandsco Ximenez............. Aldea seca.................... 141-25 Pedro Lucas, Cabo............. Toledo................ 283.. 16 Josef To</t>
  </si>
  <si>
    <t>Pidol</t>
  </si>
  <si>
    <t>Desde el otoño del año pasado anda el General Klein acompañado de Mr. Pidol, Secretario de la Guerra, y de otras muchas personas, visitando las fronteras militares, para examinar ios abusos de la administración, y las causas de la carestía que en ellas se</t>
  </si>
  <si>
    <t>Pierre</t>
  </si>
  <si>
    <t>e perfeccionan ó se Jnventan. tEntfe estos ha merecido la atención del púbLico el que ha imaginado, Mr. Pierre, lque ha dado á conocerse por .este medió , como .maj«quinista de un talento comparable al de Vaucanson. Su espectáculo presenta varias escenas animadas por un mecanismo tan;ingen</t>
  </si>
  <si>
    <t>Pillet, Capitán</t>
  </si>
  <si>
    <t>Capitán Pillet</t>
  </si>
  <si>
    <t>r sobre el corsario. En el aborda^ ge murieron 2 Franceses , y hubo muchos heridos , entre ellos el Capitán Pillet. Los Ingleses perdieron á su Capitán, varios Oficiales, y 6 ó 7 marineros muertos con la arma blanca, y casi todo el resto de la tripulación quedó herida gravemente___ El baxel de</t>
  </si>
  <si>
    <t>Pillet, Estéban (capitán)</t>
  </si>
  <si>
    <t>Capitán Estéban Pillet</t>
  </si>
  <si>
    <t>, de cuya disciplina ha quedado sumamente satisfecho. Bayona 14 de Agesto. Eí corsario el Augereau, Capitán Estéban Pillet, de está ciudad, salió de Vigo el 20 de Julio, y el 3 de Agosto avistó un convoy numeroso, escoltado por fragatas y navios de guerra. El 5 se encontró entre el fuego dedo* baxeles</t>
  </si>
  <si>
    <t>Pinazo, Antonio</t>
  </si>
  <si>
    <t>Antonio Pinazo</t>
  </si>
  <si>
    <t>688 Josef Brun y Navarro, D. Antonio Pinazo y D. Miguel Alvarez. Por Real título del Consejo, expedido con fecha de 27 de Junio próximo pasado, se ha nombrado por Revisor de instrumentos antiguos, y lector de letras antiguas en</t>
  </si>
  <si>
    <t>Pinckney</t>
  </si>
  <si>
    <t>ntro de poco tiempo de París por falta de salud , y venir á la América. Igualmente se espera aquí á Mr. Pinckney , nuestro M¡nIstr&lt;&gt; en Madrid. El día. 2.8 tde Octubre se publicó en la Guadalupe un decreto del General Erjiouf, por. el qual se manda, baxo la pena de 5$ pesetas de multa, á tod</t>
  </si>
  <si>
    <t>Pineda, Antonio</t>
  </si>
  <si>
    <t>Antonio Pineda</t>
  </si>
  <si>
    <t>Supl., p. 7</t>
  </si>
  <si>
    <t>......... 124. Dos estampas que representan una la muerte del primer Teniente de Guardias Españolas D. Antonio Pineda, y la otra el mausoleo erigido á su memoria en Manila por sus amigos y compañeros , á 10 reales cada una...... 20. 12. El retrato de Fernando Magallanes, grabado por D. Fernando S</t>
  </si>
  <si>
    <t>Pineda, Francisco</t>
  </si>
  <si>
    <t>Francisco Pineda</t>
  </si>
  <si>
    <t>Coronel D. Matías de Letatnendi, Capitán del expresado cuerpo; ú Ce pitan al Teniente de granaderos D. Francisco Pineda; á Teniente de granaderos al de fusileros D. Juan Pujol; á Teniente'-de fusileros al ¿obteniente de granaderos D. Antonio Luis Aleado; á Subteniente de granaderos ai de fusileros</t>
  </si>
  <si>
    <t>Pineyro de Lara, Francisco</t>
  </si>
  <si>
    <t>Francisco Pineyro de Lara</t>
  </si>
  <si>
    <t>on de la catedral de Tuy, vacante por promoción de D. Bernardo Sánchez Cidras á Canónigo de ella, á D. Francisco Pineyro de Lara, Cura -de la villa de Lumbrales, en el obispado de Ciudad-Rodrigo; y para una Media-Ración de la de Cuenca, vacante por ascenso de D. Tomas Minguez á Ración de la propia iglesia ,</t>
  </si>
  <si>
    <t>Piñeyro, Pedro</t>
  </si>
  <si>
    <t>Pedro Piñeyro</t>
  </si>
  <si>
    <t>Logroño al de fusileros D.: Josef Saturio Ovejas; y Subtenientes de bandera, del de. Tuy al Cadete D. Pedro Piñeyro. En Amírica.. Habiendo resuelto el. Rey dividir el mando de las ProYincias internas de. la. América septentrional en dos Gobiernos y Comandancias generales con los; nombres de.Ori</t>
  </si>
  <si>
    <t>Pinilla y Pérez, Antonio</t>
  </si>
  <si>
    <t>Antonio Pinilla y Pérez</t>
  </si>
  <si>
    <t>rido el Rey ei empleo de Teniente letrado, Asesor ordinario del Gobierno é Intendencia de Durango á D. Antonio Pinilla y Perez, Abogado de los Reales Consejos. ' * El bergantín correo de la Real Armada, nombrado Paloma, dio vela</t>
  </si>
  <si>
    <t>ios de física experimental. En la Gazeta del martes 16 del corriente pág. 919, lín. 45 , donde dice D. Antonio Pinilla y Perez, debe decir 0. Angel. El Mercurio de España de 30 de Setiembre,núm. xviir,se hallará desde mañana en el despacho de la imprenta Real: en el Real sitio de S. Lorenzo en la tienda d</t>
  </si>
  <si>
    <t>Pino, General</t>
  </si>
  <si>
    <t>General Pino</t>
  </si>
  <si>
    <t>nueva división diocesana. A la República valesiana ha llegado una parte de la división italiana del General Pino, la que ha tenido muchos contratiempos en su marcha. Pasa directamente á Ginebra. ITALIA. Genova i $ de Diciembre, Las cartas particulares de Damieta, de 8 de Octubre, anuncian qu</t>
  </si>
  <si>
    <t>lazareto. Milán i.° de Setiembre. El Emperador de los Franceses lia nombrado Ministro de Guerra al General Pino, en lugar del General Tribulcio, quien ha hecho su dimisión. ■ . FRANCIA. Strasbnrgo gi de Agosto. Va á terminarse el famoso proceso de las cédulas del banco de Vie112. El Procura</t>
  </si>
  <si>
    <t>Pinto de Sousa Coutinho, Luis</t>
  </si>
  <si>
    <t>Luis Pinto de Sousa Coutinho</t>
  </si>
  <si>
    <t>L. Lisboa 27 de Abril. El dia 14 del corriente falleció,,á los 68 años de edad, Luis Pinto de Sousa Coutinho, Secretario de Estado de la Real casa de Braganza. __ El 29 de Marzo S. A. R. el Príncipe Regente expidió un decreto, en el qual se expresa, que sabiendo hallarse en peligro la vida del citad</t>
  </si>
  <si>
    <t>Pintos, Blas</t>
  </si>
  <si>
    <t>Blas Pintos</t>
  </si>
  <si>
    <t>te al-Teniente D. Juan Manuel Marín; á Tenientes á los Alféreces D. Manuel Perez, D. Antonio Perez, D. Blas Pintos y D. Juan Bartolomé Rondeau; á Alféreces á los Portaguiones D. Salvador Moreyra y D. Juan Francisco Zamudio; á los Cadetes D. Josef María Escovar,</t>
  </si>
  <si>
    <t>Pió, Papa</t>
  </si>
  <si>
    <t>Papa Pió</t>
  </si>
  <si>
    <t>ó con 50 caño* nazos. Friburgo #0 de Noviembre. S. E. el) Land-Amman de Affry ha escrito á S. S. el Papa Pió vn una carta en latin, que traducida es del tenor siguiente___ Santísimo Padre: Si he tardado tanto en ofrecer 2 V. S. el tributo de veneración que tiene derecho de esperar de la</t>
  </si>
  <si>
    <t>ardenal Arzobispo de Paris acaba de mandar que sé hagan rogativas por el próspero viage de S. S. el Papa Pió vn , que viene á Paris para consagrar á S. M. Napoleón , Emperador de los Franceses, y porque vuelva á Roma contento y con felicidad. Madama de Laplace, esposa del Canciller del S</t>
  </si>
  <si>
    <t>nuestro Imperio exerza todos los derechos , privilegios y poderes que anteriormente le confirió el Papa Pió vi.” El 18 de este mes pasó el Sund la fragata Inglesa Amatista, de 36 cañones, llevando á bordo el nuevo Embaxador Ingles Mr. Gower, que pasa á Petersburgo. El vecindario de Harn</t>
  </si>
  <si>
    <t>Pío, Príncipe</t>
  </si>
  <si>
    <t>Príncipe Pío</t>
  </si>
  <si>
    <t>de la esquadra de Nelson. FRANCIA. Colonia 14 de Setiembre. : • El Duque de Baviera y sus hijos, el Príncipe Pío, y la Princesa María Elisa, han sido presentados á SS. MM., con quienes han comido hoy. CMentza 21 de Setiembre. Al pasar ayer por el camino del Rhin para ir á Maguncia, alcanzo á</t>
  </si>
  <si>
    <t>Piraces, Francisco</t>
  </si>
  <si>
    <t>Francisco Piraces</t>
  </si>
  <si>
    <t>. Antonio Xavier Macares: el1 de Ayudante mayor al segundo Ayudante D. Josef Laso; y esta resulta á D. Francisco Piraces, agregado en la rriiéma clase á dicho esquadron. Por el Ministerio de Hacienda de Indias se ha expedido á aquellos</t>
  </si>
  <si>
    <t>Pirez, Ramón</t>
  </si>
  <si>
    <t>Ramón Pirez</t>
  </si>
  <si>
    <t>la Comandancia del tercer batallón al Sargento mayor del de América, graduado de Teniente Coronel, D. Ramón Pirez; y Tenencia al Subteniente de granaderos D. Pedro Costa: en -el de Irlanda Compañías á los Ayudantes, graduados de Capitán, Don Gonzalo de Aramendi y D. Juan Bautista Moriarti: Te</t>
  </si>
  <si>
    <t>Piriz de la Ignacia, Simón</t>
  </si>
  <si>
    <t>Simón Piriz de la Ignacia</t>
  </si>
  <si>
    <t>amentos de Gumiel de Izan , por la de D. Domingo Jusro Cilleruelo , ambos en el obispado de Osma, á D. Simón Piriz de la Ignacia , presbítero, vecino de la plaza de Glivencia: para ei de S. Pedro de la ciudad de Avila, vacante por fallecimiento de D. Manuel Vicente de Zubiaga, á D. Joaquín Melgarejo Delgado</t>
  </si>
  <si>
    <t>Pita Daveyga, Bartolomé</t>
  </si>
  <si>
    <t>Bartolomé Pita Daveyga</t>
  </si>
  <si>
    <t>, D. Felipe Saavedra, D. Josef Melgares, D.. Alonso Ramírez , D. Antonio Osorio, D. Manuel Alyarez, D. Bartolomé Pita Daveyga, D. Luis de los Ríos, D. Francisco Calvo, D. Luis Perez del Camino, D. Gonzalo Gómez, D. Antonio Quintano, D. Josef Montaibo, D. Pedro García, Don j» an de San Llórente, D. Manuel</t>
  </si>
  <si>
    <t>Pitig, Juan</t>
  </si>
  <si>
    <t>Juan Pitig</t>
  </si>
  <si>
    <t>, con otras reflexiones dirigidas á perfeccionar la práctica de la vacuna: escrito publicado por el Dr. Juan Pitig, Médico de Fornell, impreso en Gerona en la imprenta de Nicoiau , antes de Bro, en la corte Real. Véndese en la misma casa á 2 rs.; en Madrid en la librería de Castillo, en Cádiz</t>
  </si>
  <si>
    <t>Pitt</t>
  </si>
  <si>
    <t>Cámara se inclinase á desaprobar su execucion ,óá entibiar unos esfuerzos dignos de mucha alabanza. Mr. Pitt habló largamente en favor del sistema de voluntarios , bien qued elsea se- haga mas útil, y expuso algunos medios de íñejora y de perfección.., ... yLord Castlereagh sostiene que</t>
  </si>
  <si>
    <t>las mas interesantes. Mres. Fox, Windam, Grenvilie y Gray censuraban la conducta de Los Ministros. Mr. Pitt la conder naba por débil y perezosa, quando los apuros del reyno en tierra y mar pedían mayor energía: declaró que la Inglaterra se hallaba en verdadero peligro; y al fin de su discu</t>
  </si>
  <si>
    <t>o de gracias al Rey en respuesta á dicho mensage. Cámara de los Comunes. En la junta de 15 de Marzo Mr. Pitt hizo la propuesta que anunció anteriormente sobre la situación actual de las fuerzas navales de la Inglaterra. Lo primero que propuso fue que se suplicase á S. M. mandar se presen</t>
  </si>
  <si>
    <t>favor de la propuesta---- El Canciller del Echiquier defiende al Lord S. Vicente___La propuesta de Mr. Pitt fue desestimada á pluralidad de 201 votos contra 130. En la junta de la misma Cámara del 22 de Marzo Mr. Yorke propone la segunda lectura del bilí sobre los voluntarios. El Corone</t>
  </si>
  <si>
    <t>e sin disimulo y sin rodeos: si los-Ministros son delinqüentes, que se les obligue á justificarse.” Mr. Pitt en un discurso muy eloqüente apoya la propuesta de Mr. Fox. ,,Basta para apoyarla decir que,desde el principio de la guerra,los Ministros no han adoptado mas que providencias débile</t>
  </si>
  <si>
    <t>i;pala&gt;énte redarguye á Mr. Fox, alirma que nada será mas. peligroso,que una coalicioxiT entre él y Mr. Pitt,. Lregutfta^ al primero, ¿ si luego que-entreien el mí-’ nisteriüjse lisonjea.de poner en execucion la mayor parte de sus proyectos , ó seguir en algún modo sus antiguos principio</t>
  </si>
  <si>
    <t>maje en junta para deliberar sobre el bilí, sobre la suspensión del acta del exército de reserva. • Mr. Pitt dixo lo que sigue: ,,La adopcion.de! bilí, que se propone ventilar, no tiene otro objeto sino el de quitar toda contingencia de poder aumentar las tropas de línea, lo que en este</t>
  </si>
  <si>
    <t>ugusto y de mas precioso en la condición relativa de los estados civilizados.....” Continua después Mr. Pitt hablando del plan que propone , y entra en varias explicaciones. Mr. Yorke se opone á lo propuesto. Mr. Fox habla en favor del plan de Mi-. Pitt..,, Despu.es de haber los Ministro</t>
  </si>
  <si>
    <t>Era tal el estrépito de la artillería, que no hay duda en que pueda haberse oído en el gabinete de Mr. Pitt en Londres. París 2 5 de Mayo. Con fecha de 19 de Mayo se ha publicado el reglamento siguiente: ,,Napoleón, por la gracia de Dios, y por las constituciones de la República , Emperad</t>
  </si>
  <si>
    <t>Pítt), á decir que habia recibido orden de S. M. de presentarle el plan de un nuevo ministerio---- Mr. Pitt tuvo ayer una conferencia con S. M. , que duró cerca de tres horas. El Lord Canciller le acompaño al palacio de la Reyna, de donde se retiró á las 2 y media de la tarde. (1/u' Mor</t>
  </si>
  <si>
    <t>Holanda, en donde se embarcarán para los EstadosUnidos. GRAN BRETAÑA. Londres iS de Mayo. Luego que Mr. Pitt salió de la conferencia que tuvo con el Rey , los amigos de.Mr. Fox se juntaron en el palacio de Carleton. Díxoles Mr. Fox que sus mas ardientes deseos eran de que se formase un m</t>
  </si>
  <si>
    <t>í estaban determinados ano tomar parte en el nuevo gobierno.__ Comunicóse por escrito lo resuelto á Mr. Pitt. Es imposible alabar, como se merece, una conducta tan desinteresada y patriótica. Si el objeto de estos hombres fué solamente derribar al ministerio anterior para ocupar su lugar</t>
  </si>
  <si>
    <t>l General Bruñe; lo que no se habia verificado mueho tiempo hace. GRAN BRETAÑA. Londres 23 de Mayo. Mr. Pitt se presentó ayer en la Cámara de los Comunes, y anunció la intención de presentar su plan para completar el exército. No creemos deba darse mucho crédito á las voces que han corri</t>
  </si>
  <si>
    <t>á atacar con mucha fuerza el nuevo ministerio, y que dirigirá sus esfuerzos, principalmente contra Mr. Pitt. El Morning Chronicle se adelanta á decir que este Ministro tendrá que abandonar su puesto, y que no hallará mucho apoyo en sus colegas. Las señales de aprecio que Mr. Addington m</t>
  </si>
  <si>
    <t>de la misma Opinión que le siguieron, insistieron principalmente en que el proyecto presentado por Mr. Pitt, es casi idéntico al de su predecesor Mr. Addington. Mr. Yorke, antiguo Secretario de la Guerra en el ministerio anterior, critico varias mudanzas que el primer Ministro había hec</t>
  </si>
  <si>
    <t>ganar tiempo. Finalmente,hallándose los dos partidos en número casi completo , se procedió á votar. Mr. Pitt tuvo una mayoría de 29 votos, esto es, de 214 contra 185 , mayoría muy débil, y que exalta.las esperanzas de Mr. Fox, quien hizo un discurso á los que habian votado con el, quando</t>
  </si>
  <si>
    <t>s, votan, ca,si siempre , por el ministerio, y estos ascienden á 74.-Duxaníe ministerio anterior de Mr. Pitt se crearon 68 Barones; Condes; y 5 Vizcondes que no eran antes Pares» y 15 Obispos nuevos: total 167. No se cuentan los Pares que fueron promovidos de Barones á Vizcondes y Condes</t>
  </si>
  <si>
    <t>Ayer el Duque de York, acompañado de varios Generales, de Mr. Pitt, del Lord Corregidor, y de otras varias personas de distinción , examinó en la parada un nuevo carruage para transportar con prontitud las tropas. En uno de estos carruages iban 1</t>
  </si>
  <si>
    <t>staban custodiados, y se ha enviado á Exéter y á otros parages. El lunes el Lord Canciller visitó á Mr. Pitt, y á las 2 de la tarde hur bo Consejo de Gabinete en el despacho del. Lord Harrowby, al qual asistieron el Lord Canciller, el Conde de Cambden, Lord Harrowby:, Lqrd Meiviile, y Mr</t>
  </si>
  <si>
    <t>h se halla muy mejorado de sü grave enfermedad , y el juéves por la mañana tuvo una conferencia con Mr. Pitt. Según las #timas noticias de Nueva-Yorck, de 22 del pasado, se go</t>
  </si>
  <si>
    <t>Pizarro, Sebastián</t>
  </si>
  <si>
    <t>Sebastián Pizarro</t>
  </si>
  <si>
    <t>miento de infantería-de Voluntarios de Castilla , y á Subtenientes de granaderos á los de fusileros D. Sebastian Pizarro, D. Joaquín Téran y D; Víctores Navajas* Enterado el Rey por la suprema junta de Sanidad , desque se hallan' plenamente comprobados; todos los datos y presupuestos que requieren l</t>
  </si>
  <si>
    <t>Plácido Gómez de Cádiz</t>
  </si>
  <si>
    <t>servido conferir la Sargentía mayor del primer batallón de Voluntarios de Aragón al Capitán primero D. Plácido Gómez de Cádiz: Tenencias en el mismo cuerpo,y en los Regimientos de infantería de Córdoba, Zaragoza y Jaén á los Subtenientes D. Matías Carlos de Montes, D. Domingo Navarro , D. Ignacio Joaquín</t>
  </si>
  <si>
    <t>Plácido Hernández</t>
  </si>
  <si>
    <t>Bernardo de León y Moya y D. Andrés Rodríguez; y en el de América al Sargento primero de granaderos D. Plácido Hernández. En los regimientos de caballería de España y Algarbe, octavo y noveno de línea, se ha servido el Rey promover á Alféreces á los Portaestandartes D. Josef Paez y D. Manuel Miranda</t>
  </si>
  <si>
    <t>Planchen, Vicente</t>
  </si>
  <si>
    <t>Vicente Planchen</t>
  </si>
  <si>
    <t>ey promover á Cadete de número ai supernumerario Don Antonio Aguilar; y á supernumerario al Guardia D. Vicente Planchen. En el regimiento de caballería del Infante se ha servido el Rey promover á Teniente ai Alférez D. Joaquin Foraster: en el de Borbon á Portaestandarte ai Cadete D. Benito Cardón:</t>
  </si>
  <si>
    <t>Planchón, Vicente</t>
  </si>
  <si>
    <t>Vicente Planchón</t>
  </si>
  <si>
    <t>D; Bartolomé Geórget; á&gt;Subrigadier al Cadete D. Pedro Boneti; á Cadete de numera al supernumerario D. Vicente Planchón, y a supernumerario al Guardia D. Bernardo Cinesty. S. M. se ha servido conferir, la: Comandancia del tercer batallón del regimiento de infantería de la Princesa al Coronel Di Fra</t>
  </si>
  <si>
    <t>Plasencia, Francisco</t>
  </si>
  <si>
    <t>Francisco Plasencia</t>
  </si>
  <si>
    <t>940 Ausel; y Tenencia al Subteniente D. Manuel Viilalta: en el de América Ayudantía al Teniente D. Francisco Plasencia; y en los de Guadalaxara y Voluntarios de Castilla Subtenencias de bandera á los Cadetes 0. Joaquín Valdivieso y D. Mariano Fantoni. S. M. se ha servido nombrar Gefe de brigada de</t>
  </si>
  <si>
    <t>Plater, Conde</t>
  </si>
  <si>
    <t>Conde Plater</t>
  </si>
  <si>
    <t>rón de Warel, que ahora se halla en Inglaterra, tiene 25® rublos anuales, é igual sueldo se paga al Conde Plater, que viaja ahora por Francia, dedicándose particularmente á la parte de la conservación de montes. SUECIA. Stoíkohno 27 de Marzo. La Academia de ciencias ha hecho acuñar una medal</t>
  </si>
  <si>
    <t>Pliego, Francisco</t>
  </si>
  <si>
    <t>Francisco Pliego</t>
  </si>
  <si>
    <t>regimiento de infantería de México se ha servido S. M. promover á Capitán al Teniente de granaderos D. Francisco Pliego: á Teniente de granaderos al de fusileros D. Pablo Fuero: á Subteniente de granaderos al de fusileros D. Miguel Ortiz; y á Subteniente de bandera al Cadete D. Nicolás Casas. Como</t>
  </si>
  <si>
    <t>Policarpo Fernández</t>
  </si>
  <si>
    <t>ombrar para una Ración de la catedral de Segovia , vacante por fallecimiento de D. Josef Arriaza, á D. Policarpo Fernandez , Medio-Racionero de la misma; y para el Beneficio de la parroquial de lüescas, en.el arzobispado de Toledo, por fallecimiento de D. Andrés Madrigal , á D. Ventura de Arreo. S. M.</t>
  </si>
  <si>
    <t>PolicarpQ Fernández</t>
  </si>
  <si>
    <t>de D. PolicarpQ Fernandez á otra entera de la propia, á D. Antonio Mentón, Cura párroco de Valdesimonte en aquella dic5cesis; y para los Beneficios de Sta. María del Prado de Ciudad-Real, diócesis de Toled</t>
  </si>
  <si>
    <t>Ponce de León, Diego</t>
  </si>
  <si>
    <t>Diego Ponce de León</t>
  </si>
  <si>
    <t>D. Antonio Viüavicencio, D. Josef Delgado, D. Joaquín Miaño, Don Diego Ponce de León, D. Nicolás Rubín, D. Joaquin Sánchez, D. Rafael de Lobo, D. Francisco Leceta, D. Manuel Ocarol, Dv x\ntonio Magadan, D. Norberto de Mella, D. Juan de Bnstamante, D. Joaquin del P</t>
  </si>
  <si>
    <t>Pons, Carlos</t>
  </si>
  <si>
    <t>Carlos Pons</t>
  </si>
  <si>
    <t>uel Cordero y Don Diego Ponce ; y Subtenencias en los de Valencia y Málaga á los Sargentos primeros D. Carlos Pons y D. Antonio Medina, y á ios Cadetes Don Francisco María Saez, D, Antonio Valero y D. Josef María Torraiba. S. M. se ha servido conceder Ayudantías en los Regimientos de infantería de</t>
  </si>
  <si>
    <t>Poole</t>
  </si>
  <si>
    <t>uido del gobierno se funda en no haber tenido los soldados mas que tres cartuchos el 23 de Julio. _ Mr. Poole piensa que debe corregirse el error del honorable caballero, porque podría ha-1 cer impresión en la Cámara y en el pueblo: que el hecho es que antes del 29 de Julio tenían todas l</t>
  </si>
  <si>
    <t>Porras, Francisco</t>
  </si>
  <si>
    <t>Francisco Porras</t>
  </si>
  <si>
    <t>es á sus sobrinos, hijos de sus hermanas Doña Magdalena y Doña Arañuela Tarufo, casadas, la una con D. Francisco Porras, y la otra con su hijo; y mediante no haber comparecido los interesados con los documentos correspondientes á acreditar la pertenencia del líquido de la citada cantidad, sin embar</t>
  </si>
  <si>
    <t>Porrua, Manuel</t>
  </si>
  <si>
    <t>Manuel Porrua</t>
  </si>
  <si>
    <t>osl su s anaestros y maestras fueron premiados por la Sociedad , y tambiíiy Iojj de primeras letras D. Manuel Porrua y D. Vicente Boutin, quiea^g em los sobresalientes discípulos que presentaron, diéron una prueba^Üel z«lo y esmero con que desempeñan la enseñanza de su cargo, importando los dichos p</t>
  </si>
  <si>
    <t>Porta, Carlos</t>
  </si>
  <si>
    <t>Carlos Porta</t>
  </si>
  <si>
    <t>primero de granaderos D. Andrés Rodríguez : en ei de América- Tenencia al Subteniente de granaderos D. Carlos Porta, y Subtenencia-de bandera al Sargento primero de granaderos D. Miguel Aloy; y en el de-Extremadura Ayudantía al Teniente, graduado de Capitán, D. Antonio Leglisa, y Tenencia al Su</t>
  </si>
  <si>
    <t>Portalis</t>
  </si>
  <si>
    <t>y ha sido nombrado en su lugar Mr. Champagny, Embaxador en Viena. En el ínterin ha tomado la bolsa Mr. Portalis, Ministro de los cultos. Con motivo de esta dimisión ha escrito S. M. I. la carta siguiente á Mr. Chaptal. ,,Mr. Chaptal, Ministro del Interior, miro con dolor la</t>
  </si>
  <si>
    <t>no haber el Rey de Suecia reconocido el nuevo título de la casa de Austria. RatUbma 2/ de Octubre. Mr. Portalis, hijo del,Ministro de ios cultos en Francia, ha llegado aquí en calidad de Ministro plenipotenciario del Emperador de los Franceses cerca del Elector Archicanciller. De a, ¡uí á p</t>
  </si>
  <si>
    <t>de allí el Embaxador Bruñe. Francfort jo de Noviembre. El Elector Archi-Canciller ha declarado que Mr. Portalis, Ministro de Francia cerca de su persona, tendrá el lugar preeminente después de los Ministros de S. M. el Emperador Romano y de Austria ; pero que, respecto de la Dieta, se le co</t>
  </si>
  <si>
    <t>Portillo, Francisco Fernando</t>
  </si>
  <si>
    <t>Francisco Fernando Portillo</t>
  </si>
  <si>
    <t>ha venido S. M. en nombrarle para el Arzobispado de S a. Fe de Bogotá, vacante por fallecimiento de D. Francisco Fernando Portillo. Por t*l Ministerio de Hacienda se ha comunicado, con fecha de 20 de Junio , la Real orden siguiente: ,, Para evitar dudas sobre la aplicación de la .-multa de 30 por 100 que se i</t>
  </si>
  <si>
    <t>Portocarrero, Andrés</t>
  </si>
  <si>
    <t>Andrés Portocarrero</t>
  </si>
  <si>
    <t>cia: jpara*esta'resulta á D. Francisco Esterripa, Oidor de la de Sta. Fd, y para la que-este dexa á D. Andrés Portocarrero, Abogado de la Audiencia de Lima. En 4 de Enero último salid del puerto de 'Montevideo la corbeta, correo de la Real armada, nombrada el Infante D.'Garlos, y arribo al de Muros el</t>
  </si>
  <si>
    <t>Posadilio, Juan</t>
  </si>
  <si>
    <t>Juan Posadilio</t>
  </si>
  <si>
    <t>pendio para hacer todos los cambios y descuentos por el cálculo decimal. Se hallará en la tienda de D. Juan Posadilio, al Jado de la de Tarroba. Las obras del famoso poeta Juan de Mena, corregidas, declaradas y comentadas por el Mtro. Francisco Sánchez Brócense: vigesimaquitita edición: un romo e</t>
  </si>
  <si>
    <t>Postigo, Fernando</t>
  </si>
  <si>
    <t>Fernando Postigo</t>
  </si>
  <si>
    <t>ó en Madrid............ 29°4"25 Pablo Domínguez.............. Aracena....... .............. 141..25 D. Fernando Postigo, Sub- Pasó á Capitán de la Luí- Manuel Romero.................. Yébenes........................... 141..25 teniente............................ siana........................... 48</t>
  </si>
  <si>
    <t>Poul, Capitán</t>
  </si>
  <si>
    <t>Capitán Poul</t>
  </si>
  <si>
    <t>acometer, en la rada exterior del Texel, una gruesa fragata llamada el Zeepard , á las órdenes del Capitán Poul, la qual disparó su artillería con tal acierto, que echó á pique una de las chalupas, sin que las demas pudiesen socorrerla, y huyéron sin pensar mas que en su propia seguridad. A</t>
  </si>
  <si>
    <t>Poveda, Julián</t>
  </si>
  <si>
    <t>Julián Poveda</t>
  </si>
  <si>
    <t>ha nombrado el Rey Cadete de número at Supernumerario D. Josef Muzquiz, y Supernumerario al Guardia D. Julián Poveda. El Rey se ha servido conferir en el Regimiento de infantería de Valencia Ayudantías á los Tenientes de granaderos, graduados de Capitán, D. Antonio Gástelo y D. Antonio María del</t>
  </si>
  <si>
    <t>Povtalis</t>
  </si>
  <si>
    <t>rior, para dedicares enteramente á las ciencias - pero cedo á vuestro deseo. Entregareis la bolsa á Mr. Povtalis, Ministro de los cultos, mientras que nombro otro en vuestro lugar. Deseando daros una prueba de lo satisfecho que estoy de vuestros servicios, os nombro Senador. En sus funciones</t>
  </si>
  <si>
    <t>Pozo Cáceles, Manuel</t>
  </si>
  <si>
    <t>Manuel Pozo Cáceles</t>
  </si>
  <si>
    <t>D. Josef del Campo,. Don Manuel Ibañez, D-. Francisco Apliegas , D. Tomas Pereda, D. Santiago Mela, D. Manuel Pozo Cáceles y D. Gerónimo Mauricio Buey. El primer premio consistía en la obra de Adam Smith sobre la investigación de la naturaleza,y causas de la riqueza de las naciones: el segundo en el proye</t>
  </si>
  <si>
    <t>Preble</t>
  </si>
  <si>
    <t>n Túnez se están equipando también tres fragatas desde 24hasta 32 cañones, y varios buques menores. Mr. Preble reunirá todas sus fuerzas delante de Trípoli, de donde pasará á Túnez. El comercio americano ha sufrido tanto de las piraterías de los franceses, que al cabo el gobierno ha destin</t>
  </si>
  <si>
    <t>Preble, Almirante</t>
  </si>
  <si>
    <t>Almirante Preble</t>
  </si>
  <si>
    <t>o, y tan desgraciado.** AJRICA. Tfí/foíl i»0 de Setiembre. Ta esquadra Americana, á las órdenes del Almirante Preble, qtje es_ta, á la vista de esta ciudad , 1* embistió el 3 de Agosto, a 1^ j, de la tarde: duró el combate 2 horas y media, perdiendo los Aiuer¡canos un Oficial que mandaba una cha</t>
  </si>
  <si>
    <t>Prefaneta, Juan</t>
  </si>
  <si>
    <t>Juan Prefaneta</t>
  </si>
  <si>
    <t>ida , baxo la invocación de S. Bartolomé y Sta. Margarita, vacante por muerte de Don Miguel Ribé, á D. Juan Prefaneta; y para el Préstamo de Aldeaseca de la Frontera, en el obispado de Salamanca, vacante por fallecimiento de D. Josef Araujo y Arguelles, á D. Juan Nepomuceno Fernandez de la Peña.</t>
  </si>
  <si>
    <t>Presidente Bertollet</t>
  </si>
  <si>
    <t>ción del Cuerpo legislativo y al Tribunado-. Introducido el Senado hizo el Vice-Presidente Bertollet un corto discurso manifestando al primer Cónsul la indignación profunda que había concebido el Senado por la conspiración que fse ha descubierto, y cuyos agent</t>
  </si>
  <si>
    <t>Presidente Cambaceres</t>
  </si>
  <si>
    <t>488 nación de contarle en el numero de sus mas fieles servidores.” Así habló el Presidente Cambaceres. El Emperador proclamó el senado-consulto orgánico, y se publicará en Par ís el domingo próximo á medio día. S. M. Imperial ha nombrado para la dignidad de Gra</t>
  </si>
  <si>
    <t>Presidente de la República de las Siete-Islas, Príncipe</t>
  </si>
  <si>
    <t>Príncipe Presidente de la República de las Siete-Islas</t>
  </si>
  <si>
    <t>e Spiridion Jorge Teotochi, caballero Gran Cruz y Comendador de la orden de S. Juan de Jerusalen, y Príncipe Presidente dé la República de las Siete-Islas. Todos los cultos han manifastado el general aprecio que se merecía este caballero en las solemnes exequias que han celebrado. TURQUIA. Constantinomia y de Diciembre. No se puede</t>
  </si>
  <si>
    <t>PRESIDENTE DE LA SOCIEDAD DE EMULACION DE AQUELLA CAPITAL</t>
  </si>
  <si>
    <t>INSTITUTO NACIONAL DE FRANCIA, CATEDRATICO EN LA ESCUELA DE MEDICINA DE PARTS, PRESIDENTE DE LA SOCIEDAD DE EMULACION DE AQUELLA CAPITAL¿ Y MIEMBRO DE MUCHAS ACADEMIAS. TRADUCIDO AL CASTELLANO POR EL Dr. D. LUIS GUARNERIO Y AL L AVENA, MEDICO EN EL REAL SITIO DE S. ILDEFONSO. Bien notorio es que</t>
  </si>
  <si>
    <t>Presidente Fernanes</t>
  </si>
  <si>
    <t>ros del Senado y del Consejo de Estado pará.'hacer mas solemne la ceremonia. El Presidente Fernanes hizo un corto discurso al primer Cónsul, expresándole la satisfacción que la exposición del estado de la República 'había causado al;Cuerpo legislativo:&gt;y la a</t>
  </si>
  <si>
    <t>Presidente Fon</t>
  </si>
  <si>
    <t>uciría á nada.’*-u—Introducida la diputación del Cuerpo legislativo, expresó el Presidente Fon tañes á nombré jdét Cuerpo los mismos sentimientos que habia manifestado el Senado, aña* diendo una pintura de los peligros de que habia triunfado la fortuna-d</t>
  </si>
  <si>
    <t>Presidente Fontanas</t>
  </si>
  <si>
    <t>'dé qué’ él‘había e?fáÜó; encargado. • • ‘ ■ ' !• ‘l En la junta del 12 hizo el Presidente Fontanas un discurso en que manifestó su- reconocimiento'al gobierno y- al Cuerpo legislativo , y 'expresó su: adhesión; d las - inétitUcioñe’s actú'álésf y ■ sii entUs</t>
  </si>
  <si>
    <t>Presidente Fontanes</t>
  </si>
  <si>
    <t>e la nación, y las fuerzas de la República.”__ Acabada la lectura, respondió el Presidente Fontanes, manifestando la satisfacción que todos tenían en oir la mencionada exposición. • Después entráron tres Consejeros de Estado, y el, ciud. Treii— .hard ^ que ll</t>
  </si>
  <si>
    <t>un busto de mármol blanco de Napoleón Bonaparte en la sala de sus juntas___ El Presidente Fontanes hizo un corto discurso al primer Cónsul recordando los beneficios que le debe la Francia, expresando el reconocimientpuque anima al Cuerpo legislativo, y cuyo</t>
  </si>
  <si>
    <t>Presidente Jaubert</t>
  </si>
  <si>
    <t>cia que habia respondido al Senado.__ Introducida luego el Tribunado expresó su Presidente Jaubert los mismos, sebtíinientos quelOJ otros cuerpos, y la respuesta dei;pr'ither/!Cónsulcfué substancialmente/la misjria, Entre muchos inventos y mejoras importantes ,</t>
  </si>
  <si>
    <t>Presidente Jeíferson</t>
  </si>
  <si>
    <t>últimas cartas de América, con fecha de 4 de Octubre , refieren el mensage del Presidente Jeíferson ál Senado, comunicándole Jas desavenencias suscitadas entre los Estados-Unidos y el Emperador de JVÍavr</t>
  </si>
  <si>
    <t>Presidente Kleiser de Doneschingen</t>
  </si>
  <si>
    <t>ador. A este fin ha ido á Viena, y le reemplaza interinamente en la Regencia el Presidente Kleiser de Doneschingen. Antes de ayer sali&lt;! el Conde de Panin para volverse á Rusia. S, A. S. la Princesa heredera de la Tour y Taxis , ha estado dos días en Aschaffenhurgo. S. A. e</t>
  </si>
  <si>
    <t>Presidente Mr</t>
  </si>
  <si>
    <t>teresantes" del país. Después de haber despedido al Consejo, convidó á comer al Presidente Mr. de Loe, y tuvo el honor de sentarse á la mesa al lado de la Emperatriz. París 14 de Setiembre. Mr. Pauli, artista muy inteligente, ha construido un globo aero</t>
  </si>
  <si>
    <t>transfiriéron todos inmediatamente á esta ciudad; y desde entonces, reunidos al Presidente Mr. Queysen, re juntan con mucha freqiiencia para tratar, como generalmente se cree, de un, proyecto de constitución , que se nós va á presentar , con el consenti</t>
  </si>
  <si>
    <t>Presidente, Príncipe</t>
  </si>
  <si>
    <t>Príncipe Presidente</t>
  </si>
  <si>
    <t>seo de que se invierta lo que habia de costar en alguna obra útil, ventajosa á la población. - ; El Príncipe Presidente, al publicar estas gracias, exhorta aLpuebló á manifestar su agradecimiento al héroe déi Norte, llenando1 sus deseos por medio de nuestra aplicación en el desempeño de nuestros de</t>
  </si>
  <si>
    <t>prosperidad de esta República, y al mismo tiempo manifiesta un,vivo dolor por el fallecimiento del Príncipe Presidente.__.El Vice-Cónsul por su parte ha felicitado al mismo tiempo á S. E. Antonio Comuto por su exaltación á la dignidad de Príncipe Presidente, y ha asegurado que esta elección será m</t>
  </si>
  <si>
    <t>Pressavin</t>
  </si>
  <si>
    <t>rracalle de la Gorguera. Arte de conservar la salud y prolongar la vida,, ó tratada dé higiene, dem Mr. Pressavin, traducido al castellano, corregido y aumentado nuevamente, con varias notas y adiciones. La aceptación que ha merecido del público esta obra La obligado al editor á emplear el ma</t>
  </si>
  <si>
    <t>Prieto, Antonio</t>
  </si>
  <si>
    <t>Antonio Prieto</t>
  </si>
  <si>
    <t>que quedó vacante en la catedral de Cuenca, por fallecimiento de D. Lorenzo Calvo de la Cantera , á D. Antonio Prieto, Cura castrense actual de la parroquia de Cádiz , en consideración á sus servicios, y conforme al reglamento de 30 de Enero último. También se ha servido el Rey nombrar para una C</t>
  </si>
  <si>
    <t>Prieto, Bernardo</t>
  </si>
  <si>
    <t>Bernardo Prieto</t>
  </si>
  <si>
    <t>de Teniente , y D. Diego Salazar ; á Subtenientes de (j^in pañía los de bandera E&gt;. Juan Galguera, D. Bernardo Prieto, D. Cirilo Lessasier, D. Juan Treviño y D. Luis Dreux , el Sargento primeroJJ). Manuel Rubio y el Cadete D. Francisco Devillers; y i Subtenientes¿¿e bandera los Sargentos primeros</t>
  </si>
  <si>
    <t>Prieto, Juan Antonio</t>
  </si>
  <si>
    <t>Juan Antonio Prieto</t>
  </si>
  <si>
    <t>rias, Zamora, Mallorca, América, Voluntarios de Estado y Voluntarios de la Corona á los Presbíteros D. Juan Antonio Prieto, D. Cárlos María Martínez, D. Juan Ortiz de León, Don</t>
  </si>
  <si>
    <t>Prieto, Vicente</t>
  </si>
  <si>
    <t>Vicente Prieto</t>
  </si>
  <si>
    <t>eniente de granaderos al de fusileros D. Miguel Fernandez; á Subteniente de fusileros al de bandera D. Vicente Prieto, y á Subteniente de bandera ai Cadete D. Josef María Jtengel. Por el Ministerio de Hacienda se ha comunicado á los Consulados, con fecha de 17 de Abril, la Real orden siguiente: A</t>
  </si>
  <si>
    <t>Príncipe UrussofF, Coronel</t>
  </si>
  <si>
    <t>Coronel Príncipe UrussofF</t>
  </si>
  <si>
    <t>ucción publica la cantidad de 400® rublos para el fomento y perfección de las escuelas. El Teniente Coronel Príncipe UrussofF ha regalado al gimnasio del gobierno de Porcow una buena biblioteca y un gabinete de minerales Rusos: un gabinete de minerales extrangeros, y una colección completa de mosáyeos á</t>
  </si>
  <si>
    <t>Prospero</t>
  </si>
  <si>
    <t>ditum, dein Italice versum, ac plurimis adnotationibus, novisque articulis locupletatum á P. Abbate D. Prospero ab Aquila, publico Professore ¡n Regía Universitatc Neapolitana: tres, tomos en 8.° marquilía.nzz Alexii Aurelii Pelliccia de Christianae Ecclesiae primae, mediae, et novissimae a</t>
  </si>
  <si>
    <t>Proust, Luis</t>
  </si>
  <si>
    <t>Luis Proust</t>
  </si>
  <si>
    <t>l Despacho de S. M., Gefb de I* escuela práctica de Química Confiada a la dirección del Catedrático D. Luis Proust, se ha servido señalar el lónesi.de corriente, y días simientes, á las 9 ^ la mañana, para que los discípulos de dicha Real escuela , D. Josef María García Rodrigo, D. Leonardo Vi</t>
  </si>
  <si>
    <t>, ha remitido una corta porción de los polvos llovidos, qu.e han sido cuidadosamente analizados por D. Luis Proust, Catedrático de química en el Real laboratorio de Madrid.—Ha resultado del análisis, que el polvo llovido en Copenhague es de la naturaleza y calidad del polen que despiden las an</t>
  </si>
  <si>
    <t>s comisionados en las capitales de las provincias y puertos, según se expresa en la Gazeta núm. 92. D. Luis Proust, profesor de Química en esta Corte, dará principio á sus lecciones de dicha ciencia, el martes 4 de Diciembre próximo, á las n de la mañana, en el Laboratorio de Química de la cal</t>
  </si>
  <si>
    <t>Puch</t>
  </si>
  <si>
    <t>na de Módena y D. Josef Martras............................ 1 Ll Dr. D. Francisco Pitalúa........ 1 Doña Puch............................;............... I Josef Boquiliri................. . I uona Florentina r nuciuma de Módena........................... 1 Juana Jorda....--........... ✓.</t>
  </si>
  <si>
    <t>Pueyo, Manuel</t>
  </si>
  <si>
    <t>Manuel Pueyo</t>
  </si>
  <si>
    <t>ctor Schwendbiel. / -: En el:Real cuerpo de Ingenieros del exército ha promovido el Rey á Coronel á D. Manuel Pueyo ^Teniente Coronel; á este empleo al Coronel graduado D. Antonio Benavides , Sargento mayor de brigada; á este á D. Juan de Retz , Capitán primero; á este á D. Simón Treviila, Capi</t>
  </si>
  <si>
    <t>Pugal</t>
  </si>
  <si>
    <t>nombrado Canciller de la 4.a cohorte de la Legión de honor á Mr. de Salm (ex-Príncipe de Salm); y á Mr. Pugal, para Tesorero de la misma cohorte. A Mr. Lagrange, para Canciller de la 10 cohorte; y á Mr. Dezazars, para Tesorero de la misma&lt; A Mr. Taiches de la Pugerie, antiguo caballero de</t>
  </si>
  <si>
    <t>Püig, Francisco</t>
  </si>
  <si>
    <t>Francisco Püig</t>
  </si>
  <si>
    <t>. Rudesindo Domínguez, á D. Baltasar Jal: para otro de la catedral de Gerona, vacante por muerte de D. Francisco Püig, á D. Mariano Mascorü; y para otro de la misma catedral de Gerona, vacante por fallecimiento de D. Pedro Costa , á D. Felipe Ordis. En los regimientos Provinciales ha nombrado el</t>
  </si>
  <si>
    <t>Pujol, Juan</t>
  </si>
  <si>
    <t>Juan Pujol</t>
  </si>
  <si>
    <t>ú Ce pitan al Teniente de granaderos D. Francisco Pineda; á Teniente de granaderos al de fusileros D. Juan Pujol; á Teniente'-de fusileros al ¿obteniente de granaderos D. Antonio Luis Aleado; á Subteniente de granaderos ai de fusileros D. Juan Miguel Romana, y á Subteniente de bandera al Cad</t>
  </si>
  <si>
    <t>Pujol, Sebastián</t>
  </si>
  <si>
    <t>Sebastián Pujol</t>
  </si>
  <si>
    <t>nencias en los regimientos de infantería de la Rey na y Voluntarios de la Corona á los Subtenientes Don Sebastian Pujol, graduado de Teniente, y D. Manuel Ximenez Leorin, S. M. se ha servido promover á Tenientes en el regimiento de infantería de Mallorca yen el primer batallón de Voluntarios de Ara</t>
  </si>
  <si>
    <t>Qii Fernández, Diego</t>
  </si>
  <si>
    <t>Diego Qii Fernández</t>
  </si>
  <si>
    <t>u decreto de jo dei corriente ha apro" bado el remate ceiebrado en 24 de Febrero último ante el Sr. D. Diego Qii Fernandez, del Consejo de S. M., Alcalde de su Real casa y corre, de varias fincas sitas en la villa y término de Fuentelsaz d» Xarama, tasadas en 91,28c-! rs., cuyo remate se verifico en l</t>
  </si>
  <si>
    <t>Quadrado, Ignacio</t>
  </si>
  <si>
    <t>Ignacio Quadrado</t>
  </si>
  <si>
    <t>iencias en que mas se han distinguido, son en la forma siguiente.--- Primeras letras.Primer premio: D. Ignacio Quadrado: Torio, Arte grande de escribir.. Segundo premio: D. Manuel Negrí: Torio,. Compendio, Ortagrafía castellana ; Mendoza , Guerras de Granada..^. Primeras letras. i.°: D. Francisco C</t>
  </si>
  <si>
    <t>Queri, Francisco</t>
  </si>
  <si>
    <t>Francisco Queri</t>
  </si>
  <si>
    <t>En el batallón de Voluntarios de Navarra se ha servido el Rey promover á Capitán primero al segundo D. Francisco Queri. En América. El Rey se ha servido conferir al Coronel D. Mariano Fernandez Folgueras, Sargento mayor de brigada del Real cuerpo de Ingenieros, los empleos de Teniente de Rey de la</t>
  </si>
  <si>
    <t>Querol, Esteban</t>
  </si>
  <si>
    <t>Esteban Querol</t>
  </si>
  <si>
    <t>la Vicaría de Paterna , por muerte de Don Antonio Quintana , ambos en el arzobispado de Sevilla , d D. Esteban Querol, Capellán de Honor de S. M.: para el simple servidero de Arjonciilo, en el obispado de Jaén, vacante por fallecimiento de D. Manuel Blasco de Orozco, á D. Francisco Enciso , con d</t>
  </si>
  <si>
    <t>Querol, Estéban</t>
  </si>
  <si>
    <t>Estéban Querol</t>
  </si>
  <si>
    <t>de Alcaudete, en el Obispado de faen, vacante por fallecimiento de D. Josef Diego García de Ñera, á D. Estéban Querol, su Capellán de Honor y Predicador: para el de la villa de Mengibar , en la propia Diócesi, vacante por muerte de D. Juan de Salazar y Porlier, á D. Wenceslao Iíeredia, concediénd</t>
  </si>
  <si>
    <t>Quesada, Francisco</t>
  </si>
  <si>
    <t>Francisco Quesada</t>
  </si>
  <si>
    <t>fantería D. Josef Gayangos: á Capitanes primeros de infantería á los segundos D. Pablo San-, diez y D. Francisco Quesada ;y á Capitanes segundos de infantería á los Tenientes D. Juan Mansilla, D. Benito Avalle y D. Francisco Macia. Como también á Capitán segundo de las compañías lixas de Artillería</t>
  </si>
  <si>
    <t>Queypo, Antonio</t>
  </si>
  <si>
    <t>Antonio Queypo</t>
  </si>
  <si>
    <t>eneficio de la parroquial de Sta. Mam de Carmona, diócesis de Sevilla, vacante por fallecimiento de D. Antonio Queypo ¿Q Llano, y con la obligación de residencia personal, á D. Josef García Brioso, Cura de la misma parroquia: para el Medio-Beneficio pontifical de Fazalcázar , que en la propia dió</t>
  </si>
  <si>
    <t>Queysen</t>
  </si>
  <si>
    <t>ntes, se transfiriéron todos inmediatamente á esta ciudad; y desde entonces, reunidos al Presidente Mr. Queysen, re juntan con mucha freqiiencia para tratar, como generalmente se cree, de un, proyecto de constitución , que se nós va á presentar , con el consentimiento de nuestro grande alia</t>
  </si>
  <si>
    <t>Quiíti, Mateo</t>
  </si>
  <si>
    <t>Mateo Quiíti</t>
  </si>
  <si>
    <t>lférez D. Antonio Truxillo; á Alférez al Portaguión D. Joaquin Santa Cruz, y á Portaguión al Cadete D. Mateo Quiíti. ^ En el regimiento de Milicias disciplinadas de infantería de laEHavana ha promovido S. M. á Teniente de granaderos al Teniente veterano Doi* Carlos Santas, y á esta resulta á D.</t>
  </si>
  <si>
    <t>Quin de Baldovinos, Juan Bautista</t>
  </si>
  <si>
    <t>Juan Bautista Quin de Baldovinos</t>
  </si>
  <si>
    <t>l de los Arcos: para la Chantríaque dexa al Canónigo D. Josef Baltasar Casasus: para la Tesorería á D. Juan Bautista Quin de Baldovinos, también Canónigo de éíla; y para estas Canongías á D. Miguel Perez Bustillo y D. Baltasar de Amarilla , Curas de la misma iglesia: para la Canongía magistral de la del Cuzco, vac</t>
  </si>
  <si>
    <t>Quiñones, Joseph</t>
  </si>
  <si>
    <t>Joseph Quiñones</t>
  </si>
  <si>
    <t>adete Marques de Cerralbo ; á Brigadier al Subrigadier D. Francisco Oviedo; á Subrigadier al Cadete D. Joseph Quiñones; á'Cadetes de número al supernumerario D. Francisco Sanz, y al Guardia D. Francisco Verdinois, y á Cadete supernumerario al Guardia D. Eduardo ;CIavijo; y en la Compañía Flamenca</t>
  </si>
  <si>
    <t>Quiñones, Juan</t>
  </si>
  <si>
    <t>Juan Quiñones</t>
  </si>
  <si>
    <t>s Subtenientes de granaderos D. Luis Arnaiz,D. Manuel Alonso y D. Antonio Moreno, y al de fusileros D. Juan Quiñones: á Subtenientes de granaderos á los de fusileros D. Juan de Castro, D. Josef Manuel González y D. Vicente Martínez: á Subtenientes de compañía á los de bandera D. Luís Trevejos, D</t>
  </si>
  <si>
    <t>Quintado, Joaquín</t>
  </si>
  <si>
    <t>Joaquín Quintado</t>
  </si>
  <si>
    <t>te de bandera en los batallones de-Cazadores de Barba^tro, y primero de Voluntarios de Barcelona, á D. Joaquín Quintado, Cadete del primero de Voluntarios de Aragón, y á D. Manuel Gordillo, Teniente de granaderos del regimiento Provincial de Badajoz. El Rey se ha servido nombrar Coronel del regimie</t>
  </si>
  <si>
    <t>Quintana, Antonio</t>
  </si>
  <si>
    <t>Antonio Quintana</t>
  </si>
  <si>
    <t>e matrimonio D. Josef María de Roxas, y para el de Tejada, en la Vicaría de Paterna , por muerte de Don Antonio Quintana , ambos en el arzobispado de Sevilla , d D. Esteban Querol, Capellán de Honor de S. M.: para el simple servidero de Arjonciilo, en el obispado de Jaén, vacante por fallecimiento d</t>
  </si>
  <si>
    <t>Quintano, Antonio</t>
  </si>
  <si>
    <t>Antonio Quintano</t>
  </si>
  <si>
    <t>Pita Daveyga, D. Luis de los Ríos, D. Francisco Calvo, D. Luis Perez del Camino, D. Gonzalo Gómez, D. Antonio Quintano, D. Josef Montaibo, D. Pedro García, Don j» an de San Llórente, D. Manuel Pardo Rivadeneyra, D. Josef de Miranda, D.. Francisco Díaz Melendez, D. Josef Aramburu, ¿.Francisco Echez</t>
  </si>
  <si>
    <t>Qúintian Ponce, Andrés</t>
  </si>
  <si>
    <t>Andrés Qúintian Ponce</t>
  </si>
  <si>
    <t>Para la Canongía magistral déla iglesia catedral de la: Concepción de Chile, vacante por ascenso de D. Andrés Qúintian Ponce á la dignidad' de Dean de la misma iglesia, se ha servido el Rey nombrar á D. Agustín de Drrrojola , Cura Rector del Sagrario-de ella. .El Key se ha dignado*nombrar Sargento mayor</t>
  </si>
  <si>
    <t>Quintín de Subi</t>
  </si>
  <si>
    <t>idor del tribunal de aquella ciudad: para los Beneficios de Obanca y Solprio,.diócesis-dé Oviedo, á D. Quintín de Subi‘ranas: para la Medía-Ración, que este dexa, de la catedral de Sigiíenza x 'D. Alexandro Bernardo Beltran: para el Beneficio simple servidero de la. parroquia de S. Miguel de Anduj</t>
  </si>
  <si>
    <t>Quintín de Subiranas</t>
  </si>
  <si>
    <t>Antonio de la Florida: para los Beneficios simples de Oranca y Selorio, en la diócesis de Oviedo, á D. Quintín de Subiranas, con dimisión de la Media-Ración que obtiene en la catedral de Sigüenza; y para esta Media-Ración á D. Alexandro Bernardo Beltran. El Rey se ha servido conferir Compañía en el reg</t>
  </si>
  <si>
    <t>Quintín Velasco</t>
  </si>
  <si>
    <t>la propia clase de los Regimientos de infantería del Rey , León y primero de Voluntarios de Aragón D. Quintín Velasco, D. Josef Román y D. Félix Arbizu y Alava; y á los de la misma clase de los de caballería de cazadores de la Rey na y quinto de húsares de María Luisa D. Josef Montero y D. Josef</t>
  </si>
  <si>
    <t>Quiroga y Osores, Francisco</t>
  </si>
  <si>
    <t>Francisco Quiroga y Osores</t>
  </si>
  <si>
    <t>Iluet, D. Josef de Aldána y Perez Roxo , D.Joseph Navarro y Montemayor, D. Manuel: Meñendez Vaides, D. Francisco Quiroga y Osores, D. Manuel Esqúivel y Castañeda , D. Diego Varo Franco, Don Pedro de la Barreda, D. Ignacio Reguera, D. Josef Zorrilla y Ortiz, Don Ignacio Olaeta y Calafát, D. Antonio Martínez y</t>
  </si>
  <si>
    <t>Quiroga, Pedro Pablo</t>
  </si>
  <si>
    <t>Pedro Pablo Quiroga</t>
  </si>
  <si>
    <t>ería de Granada, Toledo, Ultonia y Voluntarios de la Corona, a l*os Cadetes D. Baltasar Echavarría, D. Pedro Pablo Quiroga, D. Miguel Marqueli y Rusell y D. Luis del Corral; y en el expresado de Ultonia al Sargento primero D. Miguel Sola. En los regimientos de caballería de línea del Rey y del Infante</t>
  </si>
  <si>
    <t>Quirós, Antonio</t>
  </si>
  <si>
    <t>Antonio Quirós</t>
  </si>
  <si>
    <t>n el de la Princesa al Sargento primero D. Isidoro López: en el de Valencia al Cadete del de España D. Antonio Quirós: en el de América al Cadete de las compañías de cazadores de la plaza de Ceuta D. Miguel Diez de Real: en el de Ñapóles al Cadete de Reales Guardias Walonas D. Ramón Antonio Junco</t>
  </si>
  <si>
    <t>Quiros, Pedro</t>
  </si>
  <si>
    <t>Pedro Quiros</t>
  </si>
  <si>
    <t>quín Carballo y D. Francisco Cabrera: á Subtenientes de compañía á los de bandera D. Fernando Otal, D. Pedro Quiros y D. Antonio María Bayot, y á los Sargentos primeros D. Mariano Ortiz y D. Josef Dimalanta; y á Subtenientes de bandera á los Cadetes D. Josef Aguirre, D. Josef María Bayot, D. Joaquí</t>
  </si>
  <si>
    <t>Quitos, Pablo Bernardo</t>
  </si>
  <si>
    <t>Pablo Bernardo Quitos</t>
  </si>
  <si>
    <t>e granaderos D. Francisco Peyer y D. Víctor Ackerman: á Subtenientes de bandera, en el de Saboya, á D. Pablo Bernardo Quitos y D. Pedro Rosales; y en el dé Mallorca á D. Gerónimo Valladares y D. Agustín Bueno y Bruin , los quatro Cadetes de ios mismos cuerpos. En el Real cuerpo de Artillería se ha servido e</t>
  </si>
  <si>
    <t>Quixote</t>
  </si>
  <si>
    <t>o logre coji alguna comodidad las obras del celebre Cervantes se abre subscripción á la Historia de D. Quixote, en 5 tomos en 8.® con estampas y en,papel fino á 40 rs., ai respecto de 8 rs. cada tomo en rústica, y p en las provincias ; y concluidlo el término, que será á la entrega del tom</t>
  </si>
  <si>
    <t>iten subscripciones para América á razón de 180 rs. por un año. .Los subscriptores á la Historia de D. Quixote recogerán el tomo i.° en la librería de Escribano j calie de las Carretas: y aunque á su publicación se anunció quedar cerrada esta subscripción á la entrega de este tomo, siendo</t>
  </si>
  <si>
    <t>o le permite asegurar quando podrá publicar el núm. 3.0 y siguientes. El tomo 3.0 de la historia de D. Quixote le recogerán los subscriptores de las librerías de Escribano, calle de las Carretas, y de Orea, red de S. Luis. EN LA IMPRENTA REAL.</t>
  </si>
  <si>
    <t>Rafael Miguel</t>
  </si>
  <si>
    <t>nientes de granaderos de los de Laredo, Segovia y Lorca á los de fusileros D. Santiago deLizaranzu, D. Rafael Miguel y D. Pedro Marín: á Tenientes de fusileros de los de Avila y Ciudad-Real á los Subtenientes D. Fermín Monge y D. Vicente Nieto y Nieva: á Subteniente de granaderos del de Granada al d</t>
  </si>
  <si>
    <t>Rafaela Laso de la Vega</t>
  </si>
  <si>
    <t>l público. El dia 5 de Mayo falleció en esta corte, á los 71 años y 8 meses de edad, la Excma. Sra. Doña Rafaela Laso de la Vega, Marquesa viuda de Mor tara, Grande de España de primera clase, ¡dexando con su exemplac muerte memoria indeleble de la distinguida caridad , notoria prudencia y señalado arreglo</t>
  </si>
  <si>
    <t>Rafales, Felipe</t>
  </si>
  <si>
    <t>Felipe Rafales</t>
  </si>
  <si>
    <t>............. 141. 25 3.a del *.° Andrés Mediano.... . Hita........... ,........... ........ 141-25 D. Felipe Rafales , Subte­ Rafael de Navas....... I.oreto............................. niente.»........................... . Nanaspe- 484- 4 Josef Famudo................... . Alburquerque..........</t>
  </si>
  <si>
    <t>Rafkl Bovadillo</t>
  </si>
  <si>
    <t>Landazuri, D. Joaquín de Soroa, D. Adriinti.Morquecho, D. Bartolomé Arguelles, D. Fernando Becerra, D. Rafkl Bovadillo, D. Josef Mendivil, I). Antonio Saavedra, D. Vicente Vallijcel, D. Josef Primo de Ribera,</t>
  </si>
  <si>
    <t>Rahbeck</t>
  </si>
  <si>
    <t>or de teología, y á Mr. Schlegel, profesor de leyes. La pla^a de Secretario dicen que se la darán á Mr. Rahbeck, literato distinguido—^ Mr. Guldberg, poeta acreditado, hijo del antiguo Ministro de Estado del mismo nombre, ha sido nombrado preceptor de la hija del Príncipe Real. ALEMANIA. Vi</t>
  </si>
  <si>
    <t>Raífetto, Capitán</t>
  </si>
  <si>
    <t>Capitán Raífetto</t>
  </si>
  <si>
    <t>leras armadas de este puerto para proteger las costas contra los piratas. Manda esta esquadrilla el Capitán Raífetto. Las ultimas noticias de Milán hablan de la llegada casi diaria de tropas Francesas, que vienen por el Mente Cenis, y ios departamentos Piamonteses : otras se dirigen hácia Liorna</t>
  </si>
  <si>
    <t>Rainier, Almirante</t>
  </si>
  <si>
    <t>Almirante Rainier</t>
  </si>
  <si>
    <t>de Cariisle;, y dice que si el Almirante Linois no hubiese sabido el rompimiento antes que nuestro Almirante Rainier, no hubiera este último dexado escapar á su enemigo. Después de hablar algunos vocales, se vota sobre la propuesta de Lord Cariisle; 31 votan enfavor, y 30 en contra de ella. •. 3</t>
  </si>
  <si>
    <t>Ralael del Hoyo</t>
  </si>
  <si>
    <t>de granaderos D. Vicente Flores, y en el propio cuerpo y los de la Princesa y Málaga á los Cadetes D. Ralael del Hoyo, D. Manuel María de Arzalaya y D. Antonio Mortemard. En ei Real Cuerpo de Artillería se ha servido S. M. promover á Capitán primero de á caballo al Capitán primero de infantería D</t>
  </si>
  <si>
    <t>Ramírez Tercero de Rozas, Juan Antonio</t>
  </si>
  <si>
    <t>Juan Antonio Ramírez Tercero de Rozas</t>
  </si>
  <si>
    <t>Sta. Leocadia, de la villa de Talavera de la Reyna, vacante por fallecimiento de D. Josef Maseda, á D. Juan Antonio Ramírez Tercero de Rozas. El bergantín correo de la Real Armada nombrado el Casilda salió de los puertos de Veracruz y la Ha vana en los dias 8 de Octubre y 10 de Noviembre, y fondeó en el de la Coruña el</t>
  </si>
  <si>
    <t>Ramírez, Antonio</t>
  </si>
  <si>
    <t>Antonio Ramírez</t>
  </si>
  <si>
    <t>3.* del i.° Antonio Ramírez................. Ocafla.................................. 14 D. Pedro Gutiérrez............. Madrid.. 2904.. 2 5 Juan Pere</t>
  </si>
  <si>
    <t>Ramirez, Gregorio</t>
  </si>
  <si>
    <t>Gregorio Ramirez</t>
  </si>
  <si>
    <t>........... 14Í..25 Gregorio Ramirez............... Menasalbas...................... 141. •J5 Juan González... ........ . Pcpino.Mt*&gt;&gt;*.................... .. Andrés García</t>
  </si>
  <si>
    <t>Ramírez, Manuel</t>
  </si>
  <si>
    <t>Manuel Ramírez</t>
  </si>
  <si>
    <t>de Granada á D. Rafael Arango y D. Gaspar Echevarría: en el de Valencia á D. Josef María Cendrera, D. Manuel Ramírez y D. Benito Barraguer: en el de España á D. Josef Cardona y Don Antonio Chicheri: en el de Toledo á D. Blas Muñoz de Toro y D. Angel Montes y Ordoñez : en el de Mallorca á D. Juan Fra</t>
  </si>
  <si>
    <t>brar para una Ración de la Catedral de Osma, vacante por fallecimiento de D. Vicente de la Torre, á D. Manuel Ramírez, Racionero de la Colegial de Roa, en aquella Diócesi: para una Canongía de la Colegial de S. Quirce , en el Arzobispado de Burgos, vacante por muerte de D. Juan de Tejada , á D. A</t>
  </si>
  <si>
    <t>Ramírez, Martín</t>
  </si>
  <si>
    <t>Martín Ramírez</t>
  </si>
  <si>
    <t>para otra de la propia iglesia, por promoción de Don Antonio Villagrasa á una de la de Zaragoza, á D. Martin Ramírez, Capitán de infantería, y Teniente que ha sido del Cuerpo de Ingenieros Cosmógrafos : para otra de la colegial de S; Hipólito de Córdoba * por ascenso de D. Juan Gómez Mayoral á l</t>
  </si>
  <si>
    <t>RamónTrullol</t>
  </si>
  <si>
    <t>icolás de la Vega, D/MamutE Lasqucti, D. Ramón Rato, Don Roque Diaz,D. Miguel Daza,D. Diegf ]fadara,D. RamónTrullol, Don Juan Olaegui, D. Víctor Vinader, D.,.Vicente de Lago, D. Pedro Landazuri, D. Joaquín de Soroa, D. Adriinti.Morquecho, D. Bartolomé Arguelles, D. Fernando Becerra, D. Rafkl Bo</t>
  </si>
  <si>
    <t>Ramos Novillo, Benito</t>
  </si>
  <si>
    <t>Benito Ramos Novillo</t>
  </si>
  <si>
    <t>de Soldevilla, y D. Mariano de Becerrii; á Subteniente de granaderos del de Cuenca al de fusileros D. Benito Ramos Novillo ; y á Subtenientes de bandera de los de Laredo, Sigtienza y Ecija á D. Bernardino González de Agüero , D. Alexo Marcos de las Muelas, y D. Bernabé María Canelo y- Benitez., El Rey</t>
  </si>
  <si>
    <t>Ramos y García, Vicente</t>
  </si>
  <si>
    <t>Vicente Ramos y García</t>
  </si>
  <si>
    <t>de Guadix, vacante por promoción de D. Antonio Corrales y Luque á la Canongía Doctoral de Málaga, á D. Vicente Ramos y García: para la plaza de Cantador de la Real capilla, titulada de la Concepción, de la catedral de Ostna , vacante por fallecimiento de D. Vicente Latorre , á D. Roque Gómez Naranjo: par</t>
  </si>
  <si>
    <t>Ramos, Luis María</t>
  </si>
  <si>
    <t>Luis María Ramos</t>
  </si>
  <si>
    <t>ara la Canongía que en la Iglesia de Salamanca há vacado por promoción de D. Francisco Gómez Xara á D. Luis María Ramos, Capellán del 4.0 regimiento del Real Cuerpo de Artillería, en consideración á sus servicios, y conforme al Reglamento de 30 de Enero último. f S. M. se ha servido conceder Ayudan</t>
  </si>
  <si>
    <t>Ramos, Rafael</t>
  </si>
  <si>
    <t>Rafael Ramos</t>
  </si>
  <si>
    <t>ballería de María Luisa, quinto de húsares, el empleo de Ayudante al Teniente, graduado de Capitán, D. Rafael Ramos. Para el Gobierno de la plaza de Cardona ha nombrado S. M. al Coronel D. Manuel Cerdan, Gobernador de la de Rosas; y ha concedido el Rey grado de Teniente de infantería al Subteni</t>
  </si>
  <si>
    <t>Ramos, Simón</t>
  </si>
  <si>
    <t>Simón Ramos</t>
  </si>
  <si>
    <t>........... 283..16 Simón Ramos........ ............. Val de Santo Domingo.. I4C..2S Antonio Aznar , id.............. Ojos negros..................... 283..16 Cirilo Martínez.................... C</t>
  </si>
  <si>
    <t>Ranerio Josef, Archiduque</t>
  </si>
  <si>
    <t>Archiduque Ranerio Josef</t>
  </si>
  <si>
    <t>ctual Canciller de Bohemia y de Austria; y del segundo al Conde de Zirchy, Ministro de Hacienda. El Archiduque Ranerio Josef será Ministro directorial, y tendrá por agregado al Conde de Chorek. La Cámara de hacienda se incorporará otra vez con la Cámara áulica, y se creará un tribunal de cuentas presidi</t>
  </si>
  <si>
    <t>Rapp, General</t>
  </si>
  <si>
    <t>General Rapp</t>
  </si>
  <si>
    <t>sí las medras brigadas auxiliares, combólas? dema-s-tropas nuevamente organizadas en Auxonne por el General Rapp-, quedarán enteramente disueltos en virtud de la capitulación niilitarcq'neluidacon la Dieta helvética, pero de modo^que las tropas que formában°aquellos cuerpos^ servirán en los r</t>
  </si>
  <si>
    <t>Rarrion-de Lara</t>
  </si>
  <si>
    <t>l Rey conceder Tenencias á los Subtenientes de granaderos de los mismos cuerpos D. Joaquín Becerra, D. Rarrion-de Lara, D. Francisco de Eguia y D. Guillelmo de Luna; y en el expresado de Irlanda, Capellanía á Fr. Juan de S. Rafael, presbítero religioso Carmelita descalzo. El Rey se ha servido conf</t>
  </si>
  <si>
    <t>Rasumoski, Conde</t>
  </si>
  <si>
    <t>Conde Rasumoski</t>
  </si>
  <si>
    <t>s de aquel país, y dibuxar sus vistas ma*&gt; hermosas. Mr. Redow ki, Director del jardín botánico del Conde Rasumoski, emprenderá otro viage, á expensas de este Señor, al Cáucaso ; y esperamos coger frutos preciosos de las tareas de unos hombres tan distinguidos por su mérit'V El Dr. Linde, Direc</t>
  </si>
  <si>
    <t>Rasumosky, Conde</t>
  </si>
  <si>
    <t>Conde Rasumosky</t>
  </si>
  <si>
    <t>ra quizás dar algún peso á esta conjetura la noticia de la próxima venida del Conde de Woronzow. El Conde Rasumosky, de Moscow, ha regalado al museo de esta ciudad una preciosa biblioteca, un lindo gabinete de historia natural, y la cantidad de 100© rublos, cuyo producto ha de invertirse en la</t>
  </si>
  <si>
    <t>Rato Cisneros, Pedro</t>
  </si>
  <si>
    <t>Pedro Rato Cisneros</t>
  </si>
  <si>
    <t>e, D. Vicente Climent, D. Juan Albornoz, D. Joaquin de Toledo, D. Joaquin Leones, D. Julián Leones, D. Pedro Rato Cisneros, D. Justo Salafranca, D. Baltasar Cornelias, D. Josef Rodríguez Truxillo, D. Josef Pereyra, D. Santiago Mazarredo, D. Josef Mazarredo, D. Juan de’Vera, D. Pedro de Salazar, D. Fel</t>
  </si>
  <si>
    <t>Rato, Ramón</t>
  </si>
  <si>
    <t>Ramón Rato</t>
  </si>
  <si>
    <t>anuel de Palacio^11). JAcanta Romarate, D. Josef Corones, D. Nicolás de la Vega, D/MamutE Lasqucti, D. Ramón Rato, Don Roque Diaz,D. Miguel Daza,D. Diegf ]fadara,D. RamónTrullol, Don Juan Olaegui, D. Víctor Vinader, D.,.Vicente de Lago, D. Pedro Landazuri, D. Joaquín de Soroa, D. Adriinti.Mor</t>
  </si>
  <si>
    <t>Rayinundo Gómez de Robles</t>
  </si>
  <si>
    <t>Préstamo de Bárcena de Bureba, en el de Burgos, vacante por fallecimiento de D. Andrés Martínez, á D. Rayinundo Gómez de Robles. El dia 8 del corriente tuvo la honra de besar la mano á SS. MM. y A A. D. Isidoro de Antillon, Catedrático de Astronomía, Geografía é Historia del Real Seminario de Nobles de est</t>
  </si>
  <si>
    <t>Raymunda Hernández</t>
  </si>
  <si>
    <t>ente herederos de Antonio de las Oteras , á mediodia herederos de Pedro López liaría , y á poniente Doña Raymunda Hernández , á 250 rs. Otra junto á las viñas de los PP. de Atocha , que llaman Sta. Leocadia , de 1 fan. , linde á oriente el barranco , a mediodía tierra de la capellanía de Manuel López ,</t>
  </si>
  <si>
    <t>Raymundo Despuig</t>
  </si>
  <si>
    <t>o tenido su ilustre familia en 1736 el honor de dar á la orden un Gran Maestre en la persona de Fr. D. Raymundo Despuig. Deseoso nuestro sabio&gt;gobierno defoinentar la agnciiltiira ^'las aríes, particularmente las manufacturas dé lana , publicó un :edictó eií $ de Julio de 1802 , prometiendo varios</t>
  </si>
  <si>
    <t>Raymundo Forcatera</t>
  </si>
  <si>
    <t>aderitos angosta, núm. 20, quarto 3.0, quien enterará de las condiciones y demas que fuere pseciso. D. Raymundo Forcatera, D. Juan Villarman y compañía, D. Juan Majuelo y D. Josef de Zavalveitia, vecinos de Bilbao, ó que comerciaron en aquella plaza por los años de 1760, eran acreedores á cierta casa</t>
  </si>
  <si>
    <t>Raymundo Manuel de Hiera</t>
  </si>
  <si>
    <t>: para otro de la parroquia de AÍco— niá , en la propia diócesis de Zaragoza, vacante por muerte de D. Raymundo Manuel de Hiera, á D. Cristóbal Iranzor para otro de la parroquia de Luna, de la misma diócesis, por fallecimiento de D. Rudesindo Domínguez, á D. Baltasar Jal: para otro de la catedral de Gerona</t>
  </si>
  <si>
    <t>Rayneval</t>
  </si>
  <si>
    <t>roso. El crucero Ingles ha tenido que retirarse, y nuestros buques le diéron caza por algún tiempo. Mr. Rayneval, Secretario de la Legación Francesa en S. Petersburgo , ha salido de aquella capital el 21 de Setiembre. El Emperador ha mandado al Ministro de Marina enviar al Gran Canciller de</t>
  </si>
  <si>
    <t>habia aguardado en M.♦juncia la noticia de la salida de Ru-ia del Encargado de Negocios dg Francia Mr. Rayneval, para pasar el Rhin. También añaden que la retirada recíproca de los Enviados y Agentes en Francia y Rusia no producirá sino la cesación de toda comunicación de oficio entre ámbos</t>
  </si>
  <si>
    <t>Europeas ó de Indias*, y telas pintadas, excepto los pañuelos blancos. Antes^ de ayer salió de aquí Mr. Rayneval, Encargado de Negocios de Francia, después de haber tenido el día anterior una conferencia con el Principé Czartorinsky pnuestro Ministro de Negocios extrangeros; quien por ihedío</t>
  </si>
  <si>
    <t>Rcbertson</t>
  </si>
  <si>
    <t>hiduques, de toda la nobleza, y de infinitos espectadores. A las cinco y media de la tarde &lt;e ek-vó Mr. Rcbertson en el Práter; y habiendo llegado á cierta elevaci; n bastante considerable, arrojo un para-caldas con un carnero vivo, que baxd con mucha lentitud. Ha sido notable este viage por la</t>
  </si>
  <si>
    <t>Rcthen, Antonio</t>
  </si>
  <si>
    <t>Antonio Rcthen</t>
  </si>
  <si>
    <t>e Courten al Capitán segundo D. Guillermo Lavallaz: el de Capitán segundo al Teniente de granaderos D. Antonio Rcthen; yen ei de YVimpffen Subtenencia de granaderos al de fusileros D. Francisco Sedar. En ei Real Cuerpo de Artillería se ha servido el R ey ascender á Capitanes primeros á los segund</t>
  </si>
  <si>
    <t>Real de las Ordenes</t>
  </si>
  <si>
    <t>elos, Presbítero, Caballero de la Orden de Santiago, del Consejo de S. M. en el Real de las Ordenes, Ministro de la Real Junta general de Comercio, Moneda y Minas, y Canónigo de la Sta. Metropolitana Iglesia de Zaragoza. Sirvió á S. M, con el mayor zelo é integridad en los destinos mencio</t>
  </si>
  <si>
    <t>Real Jardín Botánico de Madrid</t>
  </si>
  <si>
    <t>autor D. Hipólito Ruiz, primer Botánico de la expedición del Perú , agregado al Real Jardín Botánico de Madrid, Académico numerario de dicha Academia, y actual Secretario del Real Colegio de Boticarios de esta corte &amp;c. Este nuevo y experimentado específico, para contener Jos íluxos de sangre que ven</t>
  </si>
  <si>
    <t>Real y del Príncipe, Príncipe</t>
  </si>
  <si>
    <t>Príncipe Real y del Príncipe</t>
  </si>
  <si>
    <t>yer S. A. S. el Duque de Augustemburgo- para presidir el Consejo de Estado durante la ausencia, del Príncipe Real y del Príncipe heredero. El Príncipe Real ha emprendido, un viage á Augustemburgo, y hacia ánimo de estar de vuelta para el 10 én Luisenlund, ALEMANIA, 'Vierta ij de Julio. El it del corriente s</t>
  </si>
  <si>
    <t>Real, Antonio Luis</t>
  </si>
  <si>
    <t>Antonio Luis Real</t>
  </si>
  <si>
    <t>a junta con presencia del Sr. Gobernador del Consejo Sr. Marques de las Hormazas , los Consiliarios D. Antonio Luis Real, D. Manuel López Gallardo , la del- Secretario de la Real junta del hospital General y Pasión, y de los Médicos de Cámara D. Juan Gamez y D. Tuan Bautista Soldevílla'(no habiendo</t>
  </si>
  <si>
    <t>Real, Matías</t>
  </si>
  <si>
    <t>Matías Real</t>
  </si>
  <si>
    <t>e Buenos-Ayres, en 25 de Enero de 1799, falleció D. Lorenzo Cristino Real, y mandó que á su hermano D. Matías Real se le diesen de su quinto i© pesos en plata sellada: el dicho. D. Matías puede ocurrir ai albacea, que es D. Francisco Josef Diaz Velez, vecino de dicha ciudad, quien le entregará</t>
  </si>
  <si>
    <t>Rebollo, Agustín</t>
  </si>
  <si>
    <t>Agustín Rebollo</t>
  </si>
  <si>
    <t>de Gallinas, para el que S. M. le había nombrado, por no poder residirlo con el expresado Curato, á D. Agustín Rebollo. También ha venido S. M. en nombrar para la plaza de Alcalde de su Real casa y corte, vacante por promoción del Sr. D. Josef Marquina y Galludo , á D. Felipe Gil de Taboada, Oidor</t>
  </si>
  <si>
    <t>Reding, Francisco</t>
  </si>
  <si>
    <t>Francisco Reding</t>
  </si>
  <si>
    <t>. promover á Ayudante al Teniente O. Felipe Froette; y en el de Reding á Subtenientes á los Cadetes D. Francisco Reding, y Don Josef Schurmañn. ' *.»'•* • ! ♦ ; • E-.u En el Real cuerpode^A&amp;íHéría ge ha servido el* Rey promover á Témidnte Coronel al-Gefé dé Brigada D. Juan Munarriz; á: Gefé de Brig</t>
  </si>
  <si>
    <t>Redondo García, Manuel</t>
  </si>
  <si>
    <t>Manuel Redondo García</t>
  </si>
  <si>
    <t>illa de Becerril de Campos, en la diócesis de Patencia, por muerte de D. Antonio de Cea Cachurro, á D. Manuel Redondo García, Beneficiado y Cura Teniente de la propia villa: para el Beneficio de la Aparición del Señor y S. Antonio Mártir, unido al 3.0 y 4.0 de S. Miguel, vacante en la catedral de Barcel</t>
  </si>
  <si>
    <t>Redondo, Francisco</t>
  </si>
  <si>
    <t>Francisco Redondo</t>
  </si>
  <si>
    <t>........... 141..25 Francisco Redondo............. Pinto............................... 141 •25 Manuel F.-telrun.... ............. . Ayamonte....................... 141..25 Manuel Lo</t>
  </si>
  <si>
    <t>Redow</t>
  </si>
  <si>
    <t>ea, á fin de examinar las producciones naturales de aquel país, y dibuxar sus vistas ma*&gt; hermosas. Mr. Redow ki, Director del jardín botánico del Conde Rasumoski, emprenderá otro viage, á expensas de este Señor, al Cáucaso ; y esperamos coger frutos preciosos de las tareas de unos hombre</t>
  </si>
  <si>
    <t>Regente de Portugal, Príncipe</t>
  </si>
  <si>
    <t>Príncipe Regente de Portugal</t>
  </si>
  <si>
    <t>lenipotenciario del Elector de Salzburgo. El Conde de Lima, Embaxador extraordinario de S. A. R. el Príncipe Regente de Portugal , ha presentado sus cartas de felicitación al Emperador por su advenimiento al trono. Mr. de Souza, Enviado extraordinario del mismo Soberano , ha presentado sus nuevas credencial</t>
  </si>
  <si>
    <t>Regente, Duque</t>
  </si>
  <si>
    <t>Duque Regente</t>
  </si>
  <si>
    <t>n el Príncipe heredero de Saxonia-Weymar, llegó el 6 á Weymar; y concluida su embaxada, presentó al Duque Regente, de parte del Emperador de Rusia, las tres grandes Ordenes de Rusia guarnecidas de diamantes, y á la Duquesa madre la Estrella de Catalina. Air. de Kotzebue, apénas dé vuelta de R</t>
  </si>
  <si>
    <t>Regente, Príncipe</t>
  </si>
  <si>
    <t>Príncipe Regente</t>
  </si>
  <si>
    <t>cruzados para que se apliquen según lo exijan las mayores urgencias del propio estado. S. A. R. el Príncipe Regente, ha inandado aceptar la referida oferta como un testimonio de su Reai benevolencia. FRANCIA. Rúan 20 de Enero. No son tínicamente, los Ministros los que animados del deseo de engr</t>
  </si>
  <si>
    <t>de Sousa Coutinho, Secretario de Estado de la Real casa de Braganza. __ El 29 de Marzo S. A. R. el Príncipe Regente expidió un decreto, en el qual se expresa, que sabiendo hallarse en peligro la vida del citado Ministro, y queriendo darle todo consuelo, por la confianza que siempre hizo S. A. R.</t>
  </si>
  <si>
    <t>. M. I. debe llegar hoy 1.® de Setiembre. El Embalador extraordinario de Portugal, encargado por et Príncipe Regente de felicitar á S. M. I. por la nueva dignidad de que se halla revestido; el Conde de Cobentzel, Embaxador de Viena; el Marques de Galio, Embaxador de Ñapóles, y el Señor Sousa, Minis</t>
  </si>
  <si>
    <t>Reguera, Diego</t>
  </si>
  <si>
    <t>Diego Reguera</t>
  </si>
  <si>
    <t>1056 Ayudantía al Teniente de granaderos, graduado de Capitán, D. Diego Reguera; Tenencia al Subteniente de granaderos D. Mariano Ceverio, y Subtenencia de bandera al Cadete D. Cayetano Baiviani: en el de Extremadura Tenencia al Subteniente de granaderos D, A</t>
  </si>
  <si>
    <t>Reguera, Ignacio</t>
  </si>
  <si>
    <t>Ignacio Reguera</t>
  </si>
  <si>
    <t>o Quiroga y Osores, D. Manuel Esqúivel y Castañeda , D. Diego Varo Franco, Don Pedro de la Barreda, D. Ignacio Reguera, D. Josef Zorrilla y Ortiz, Don Ignacio Olaeta y Calafát, D. Antonio Martínez y Tacón , D. Rafael Casa so la y ViUa.iba. En 3.a fecha. D; Luis de Córdoba y Postigo, D. Juan de Aza</t>
  </si>
  <si>
    <t>Reinsberg</t>
  </si>
  <si>
    <t>andes negocios en la bolsa, y nunca han sido tan activas como ahora las especulaciones comerciales. Mr. Reinsberg, negociante de esta ciudad , ha comprado tres buques recien construidos en Olnetz, cerca del lago de Ladoga, por un paisano ruso. Estos barcos, que por su hermosura llaman la aten</t>
  </si>
  <si>
    <t>Renato, Archiduque</t>
  </si>
  <si>
    <t>Archiduque Renato</t>
  </si>
  <si>
    <t>ey ioo$ rix'dalers ( millón y medió de reales* dé vellón.) . ‘ -•-* Áügsbürgú ar de'Setiembre. , El Archiduque Renato ^h^riíiaífro7 del Emperador de Austria, ha salido de Salzburgo para hacer un viage botánico y físico en los montes de Styria y de Carinthia; le acompañan algunos botánicos sobresa</t>
  </si>
  <si>
    <t>Rengel, Gerónimo</t>
  </si>
  <si>
    <t>Gerónimo Rengel</t>
  </si>
  <si>
    <t>nferir Compañía en el regimiento de infantería de Murcia al Ayudante, graduado de Teniente Coronel, D. Gerónimo Rengel: Tenencias en el de Extremadura a los Subtenientes de granaderos D. Pedro Sosa, D. Juan de Zafra y D. Josef Romero ; y Subtenencias de bandera en los de la Reyna, Corona, Ordenes</t>
  </si>
  <si>
    <t>Revidiego, Gregorio</t>
  </si>
  <si>
    <t>Gregorio Revidiego</t>
  </si>
  <si>
    <t>141-25 Gregorio Revidiego............ Calera................................. 14 Pedro Gómez.................... ... Villafranca.................... . 141-25 Pedro Iglesias...........</t>
  </si>
  <si>
    <t>Reyneval</t>
  </si>
  <si>
    <t>un correo Francés que va i Petersburgo: dícese que lleva la orden para que el Encargado de Negocios Mr. Reyneval saLga de aquella Corte, y se restituya á París. El Conde de Aremberg ha llegado aquí de correo con una carta del Emperador de Alemania para nuestro Soberano-----Han llegado igualm</t>
  </si>
  <si>
    <t>Reynier, Almirante</t>
  </si>
  <si>
    <t>Almirante Reynier</t>
  </si>
  <si>
    <t>mandel. Las fuerzas británicas que se hallan en las costas de Malabar y Coromandel, mandadas por el Almirante Reynier, se componen de seis navios de línea, tres de 50 y de 44, nueve fragatas y nueve corbetas. Según las últimas noticias , las esquadras bátava y francesa de la India, se han separad</t>
  </si>
  <si>
    <t>Reynolds</t>
  </si>
  <si>
    <t>do de la salud de S. M. es í mas favorable que los anteriores. Se ha llamado á Sir Lucas Pepis y al Dr. Reynolds,por recomendación del Consejo de Gabinete, para asistir á S. M., y tuvieron ayer una junta con Sir Francis Miliman y el Dr. Heberden, y todos juntos visitaron á S. M. en aquel dia</t>
  </si>
  <si>
    <t>o-? nes,y sobre el riesgo con que se hacen, no admiraremos ciertamente unos esfuerzos tan costosos. Mr. Reynolds ha valuado en 200® libras esterlinas la colección de quadros que ha heredado de su suegra, el Lord Yarboroug. Cada uno de los demas hijos de dicha señora ha recibido un legado con</t>
  </si>
  <si>
    <t>Reynoso y Roldan, Fernando</t>
  </si>
  <si>
    <t>Fernando Reynoso y Roldan</t>
  </si>
  <si>
    <t>Asimismo ha nombrado S. M. para el Corregimiento político de la villa de Hellin á D. Fernando Reynoso y Roldan; y para la Vara de Alcalde mayor de ia ciudad de la Laguna, en la isla de Tenerife , áO. Juan Crisóstomo Martínez del Burgo. Los tenedores de vales-dinero de la Tesorería de Conso</t>
  </si>
  <si>
    <t>Rezusa, Nicolás</t>
  </si>
  <si>
    <t>Nicolás Rezusa</t>
  </si>
  <si>
    <t>illa de Peque, en aquella diócesis: para una Ración de la de Sigüenza, vacante por fallecimiento de D. Nicolás Rezusa, á D. Gabriel Cayetano Gallego, Medio-Racionero de .ella : para una Capellanía de la capilla Real de i&gt;. Jorge de la ciudad de Olite, en el obispado.de Pamplona, vacante por muert</t>
  </si>
  <si>
    <t>Rheinard</t>
  </si>
  <si>
    <t>polvo de la biblioteca de algún convento. Hamburgo 14 de Marzo. A petición del ciud. Rheinard, el Senado de Hamburgo ha arrestado y entregado al General Frere, Comandante de Hamburgo, un individuo</t>
  </si>
  <si>
    <t>Ribas Infante, Miguel</t>
  </si>
  <si>
    <t>Miguel Ribas Infante</t>
  </si>
  <si>
    <t>erez Galvez, administrador general en Málaga para la recaudación de los caudales , se ha nombrado á D. Miguel Ribas Infante, del comercio de dicha-ciudad. &lt; Gon el fin de que los sordos puedan con facilidad freqiientar la confesión y oir</t>
  </si>
  <si>
    <t>Ribas, Antonio</t>
  </si>
  <si>
    <t>Antonio Ribas</t>
  </si>
  <si>
    <t>868 D. Antonio Vilana: para otro de la catedral de Gerona, vacante por muerte de D. Antonio Ribas, á D. Clemente Casellas; y para otro de la misma iglesia, vacante por renuncia de D. Jayme Rui, á D. Pablo Ros y Dordas. S. M. se ha servido promover á Capitán segundo en el prime</t>
  </si>
  <si>
    <t>Ribé, Miguel</t>
  </si>
  <si>
    <t>Miguel Ribé</t>
  </si>
  <si>
    <t>la catedral de Lérida , baxo la invocación de S. Bartolomé y Sta. Margarita, vacante por muerte de Don Miguel Ribé, á D. Juan Prefaneta; y para el Préstamo de Aldeaseca de la Frontera, en el obispado de Salamanca, vacante por fallecimiento de D. Josef Araujo y Arguelles, á D. Juan Nepomuceno F</t>
  </si>
  <si>
    <t>Ribera, Francisco</t>
  </si>
  <si>
    <t>Francisco Ribera</t>
  </si>
  <si>
    <t>. Ramón Castellanos, los dos últimos de granaderos: á Subtenientes de granaderos á los de fusileros D. Francisco Ribera y D. Juan de Castro Palomino; y á Subtenientes de compañía á los de bandera D. Antonio de la Torre, D. Francisco Valera y D. Carlos Laureut. El Rey se ha servido nombrar Sargento mayo</t>
  </si>
  <si>
    <t>Ribero y Larrea, Alonso Bernardo</t>
  </si>
  <si>
    <t>Alonso Bernardo Ribero y Larrea</t>
  </si>
  <si>
    <t>ria fabulosa del distinguido Caballero D. Pelayo, infanzón de la Vega, Quixote de la Cantabria, por D. Alonso Bernardo Ribero y Larrea: 2 tomos enf ®,, con una estampa fina. Se vende en la librería de Ranz , calle de la Cruz. Indagación y reflexiones sobre la Geografía, con algunas noticias previas é indispensabl</t>
  </si>
  <si>
    <t>Ric, Benito</t>
  </si>
  <si>
    <t>Benito Ric</t>
  </si>
  <si>
    <t>obera; y á Subtenientes de bandera en el de Córdoba á D. Cayetano Salarangue; y en el de Zaragoza á D. Benito Ric y D. Gerónimo Delgado , Cadetes de los mismos Cuerpos. S. M. se ha servido nombrar Capitán segundo en el Regimiento de infantería Suizo de Courten al Teniente de granaderos D. Antonio</t>
  </si>
  <si>
    <t>Rice, Pedro</t>
  </si>
  <si>
    <t>Pedro Rice</t>
  </si>
  <si>
    <t>iie-Goronel ,D. 'Pedro -O-Daly: en él de Cantabria contpañíá al• Ayudante ,g r ad uado ¡de Capotan, D. Pedro Rice: eiiel de voluntarios de GastillarSÍíbtenencia de bandera al Sargento primero D. GrHtóbarMunoz; y en el,dé voluntarios de la Corona Tenencia al Subteniente de -granaderos D. Juan</t>
  </si>
  <si>
    <t>Richard John Ótrahan</t>
  </si>
  <si>
    <t>ombate que sosteníamos con el navio de guerra Ingles Donegal, de 88 cañones de ^6 y 18, al mando de Sir Richard John Ótrahan, no podía tener otro fin sino el de sacrificar sin fruto alguno una tripulación, digna por su valor y constancia de mejor suerte. Marinada la fragata, y reparadas con grande activ</t>
  </si>
  <si>
    <t>Rico Bononat, Tadeo</t>
  </si>
  <si>
    <t>Tadeo Rico Bononat</t>
  </si>
  <si>
    <t>n residencia en la villa de Guernica, á D. Matías Herrera Prieto: para la de la villa de Mazarron á D. Tadeo Rico Bononat; y para la de Puigcerdá, que este dexa, á D. Joaquin López Olivas. En América. En el batallón de infantería ftxo de Veracruz se ha servido el Rey promover á Capitanes al Ayudante</t>
  </si>
  <si>
    <t>Rico, Francisco</t>
  </si>
  <si>
    <t>Francisco Rico</t>
  </si>
  <si>
    <t>Rey, Calatrava é lnfante , se ha servido el Rey promover, á Sargento mayor, Capitán y A.lfe-• rez á D. Francisco Rico, D. Mauricio Assiu y D. Gerónimo de Henestrosa, Capitán, Ayudante graduado de Capitán, .y Portaestandarte, de sus respectivos cuerpos.; y á Ayudante en el de cazadores de Aimansa:</t>
  </si>
  <si>
    <t>Ridolfi, Carlos María</t>
  </si>
  <si>
    <t>Carlos María Ridolfi</t>
  </si>
  <si>
    <t>en su juzgado y escribanía numeraria de D. Jacobo Manuel Manrique está radicada la testamentaría de D. Cárlos María Ridolfi, Agente de negocios que fué en esta Corte, que falleció en 10 de Marzo próximo pasado,1 dexando por herederos, por mitad del líquido de su caudal, á la santa y Real Hermandad del</t>
  </si>
  <si>
    <t>Riega, Bernardo</t>
  </si>
  <si>
    <t>Bernardo Riega</t>
  </si>
  <si>
    <t>de Real facultad de los Sres. del Real y Supremo Consejo de la Cámara de Castilla, cometida al Sr. D. Bernardo Riega, del Consejo Real, se están subastando en venta diferentes fincas y posesiones sitas en territorio y jurisdicción de- la ciudad de Córdoba, que sus nombres, cabidas y justiprecios</t>
  </si>
  <si>
    <t>Riescó y Mendér, Diego</t>
  </si>
  <si>
    <t>Diego Riescó y Mendér</t>
  </si>
  <si>
    <t>to no*haber parecido, la persona en cuyo podef sé halle se serYirá entregarlo ó remitirlo al citado D. Diego Riescó y Mendér'* Notario dél iribú-' nal-eclesiástico en dicha ciudad de Salamanca, y en Madrid á D. ;Tfc&gt;niás ló^añó, que vive calle de los Tintes, lá que haXa á los caños'‘del Peral, casá sib n</t>
  </si>
  <si>
    <t>Riéscó y Méndez, Díegó</t>
  </si>
  <si>
    <t>Díegó Riéscó y Méndez</t>
  </si>
  <si>
    <t>de Setiembre de 1803 , nuirt. 2062 26 , coñ solo el encabezamiento ( y sin endoso alguno) puesto á D. Díegó Riéscó y Méndez; y respecto no*haber parecido, la persona en cuyo podef sé halle se serYirá entregarlo ó remitirlo al citado D. Diego Riescó y Mendér'* Notario dél iribú-' nal-eclesiástico en dic</t>
  </si>
  <si>
    <t>Rifa, Tomás</t>
  </si>
  <si>
    <t>Tomás Rifa</t>
  </si>
  <si>
    <t>exército ha nombra do S. M. Tenientes Coroneles á D. Juan Camargo, graduado de Teniente Coronel, y D. Tomas Rifa, Sargentos mayores de Brigada: para este em-. pleo á los Capitanes primeros D. Francisco Mendizaval y D. Pablo Ordobas: para Capitán primero á D. Manuel Tomé, Capitán segundo; y p</t>
  </si>
  <si>
    <t>Right, Capitán</t>
  </si>
  <si>
    <t>Capitán Right</t>
  </si>
  <si>
    <t>cu tarse. . . El 25 de Febrero se acercaron á las peñas de Beville los lugres ingleses que manda el Capitán Right, y que hablan de desembarcar bandidos. Al caer de la tarde se les acercó una fragata, y les hizo señal de reunión. No se sabe si .les traxo noticias ó nuevos bandidos: en todo cas</t>
  </si>
  <si>
    <t>Rigual, Joseph</t>
  </si>
  <si>
    <t>Joseph Rigual</t>
  </si>
  <si>
    <t>s oraciones de la Iglesia contra las tempestades según el Breviario y Ritual Romano, traducidos por D. Joseph Rigual; en 8.°, a 7 rs. en pasta. Se hallarán en el despacho de la Imprenta Real. En el Diario y Gazeta de 17 y 20 de Julio de este año se dio noticia que en virtud de Real facultad se v</t>
  </si>
  <si>
    <t>Ring, Lord</t>
  </si>
  <si>
    <t>Lord Ring</t>
  </si>
  <si>
    <t>érminos ,, de que se sirvió anteriormente Mr. Addington eti la de lós Comunes. La qüestion que puso Lord Ring</t>
  </si>
  <si>
    <t>Rípmon</t>
  </si>
  <si>
    <t>el semina* ri'sta D. Josef Martínez. ; / ;i , En la gazeta núm. 23 , pág. 261 , lín*. n, donde dice D. Rípmon del'Agüila, debe decir D. Román,... . : ‘ pesos , núms. 325309, 2 274047 2 2/42 1 , 2 27446 2 27544 ,’ 2 4Í5&gt;95 , 24^5^, 252418, 254489, 2;5584o', 25897^5 , 26284/; 27-17034 27375§ "¿</t>
  </si>
  <si>
    <t>Riquelme, Joaquín</t>
  </si>
  <si>
    <t>Joaquín Riquelme</t>
  </si>
  <si>
    <t>de Antequera, diócesis de Málaga, vacante por muerte de D. Josef Yéregui, á D. Andrés del Aguila. A D. Joaquín Riquelme, Catedrático de matemáticas en Cádiz, se han extraviado 2 vales Reales de 200 pesos, el uno de la creación de Setiembre, número 39,880, endosado ¿ su favor por D. Manuel de ViUanu</t>
  </si>
  <si>
    <t>Ris, Francisco</t>
  </si>
  <si>
    <t>Francisco Ris</t>
  </si>
  <si>
    <t>stró1; D.áNicolastdel Rio Nogúerido, D. Tomas Cisca r y Orióla y D. Sébastiáiír:Bufler y Henriquez, D. Francisco Ris.tori y Medina, D. Luis Liniers y Menibielle, Don Santiago Soroa y Soroá, D* Carlos Vaicárcel y RosiqueyD. Juan Carranza y Vivero , D. Juan Torrontegui Fernandez de Landá , rD. Amb</t>
  </si>
  <si>
    <t>Risy, Melchor</t>
  </si>
  <si>
    <t>Melchor Risy</t>
  </si>
  <si>
    <t>Benito del Moral: Tenencia de granaderos en el regimiento Suizo , vacante de Yarm, ai de fusileros, D. Melchor Risy ; y Subtenencia en el ambulante de Ruttiman al Cadete D. Octaviano Taydit de Tersac. El Rey se ha servido conferir el empleo de Coronel en el regimiento de Olivencia, tercero de h</t>
  </si>
  <si>
    <t>Rita</t>
  </si>
  <si>
    <t>cudiesen á usar de su derecho al percibo del líquido de 1900 pesos, depositados en caxa, ocurriéron Doña Rita, Doña Josefa, Doña Ana y Doña María Rosa Anguiano, vecinas de la ciudad de Cádiz, como nietas de Don Juan Suarez, uno de los 5 herederos del testador; y como no han comparecido Jo</t>
  </si>
  <si>
    <t>Rivero y Larrea, Alonso</t>
  </si>
  <si>
    <t>Alonso Rivero y Larrea</t>
  </si>
  <si>
    <t>rar para la Dignidad de Abad de Santa Marta de la Catedral de Astorga, vacante por fallecimiento de D. Alonso Rivero y Larrea, á D. Jacinto Vejarano Galavis y Nidos, Cura Párroco de la villa de Arévalo en la Diócesi de Avila: para una Ración de la de Valiadolid, por muerte de D. Pedro Román, á_D. Josef O</t>
  </si>
  <si>
    <t>Rivers, Lord</t>
  </si>
  <si>
    <t>Lord Rivers</t>
  </si>
  <si>
    <t>la Real familia han estado algunos dias ausentes de Weymouth , los que han pasado en las casas, de Lord Rivers, y del Conde de Uxbrigde. Volviendo de casa del último de estos Señores, á.Milton Abbey, al pasar por una cuesta muy pendiente, se enredáron las riendas de los caballos deL faetón</t>
  </si>
  <si>
    <t>Roa, Francisco</t>
  </si>
  <si>
    <t>Francisco Roa</t>
  </si>
  <si>
    <t>bteniente de granaderos ai de fusileros D. Juan Miguel Romana, y á Subteniente de bandera al Cadete D. Francisco Roa. Asimismo ha concedido el Rey la Tenencia Coronela del regimiento de infantería de Nueva-España á D. Roberto Rollin, Teniente Coronel graduado, y Sargento mayor del de infantería</t>
  </si>
  <si>
    <t>Robatel, Luis</t>
  </si>
  <si>
    <t>Luis Robatel</t>
  </si>
  <si>
    <t>o primero de granaderos D. Federico Behr y al Cadete D. Carlos Muller; y en el de Courten al Cadete D. Luis Robatel. En atención ai mérito y distinguidas circunstancias del Capitán de dragones agregado al Estado mayor de la plaza de Málaga D. Guillermo Claudio, Conde de Aubarede, se ha dignado</t>
  </si>
  <si>
    <t>Roberto Macnamara</t>
  </si>
  <si>
    <t>aduado de Capitán, D. Pedro de Tejada: Ayudantía en el de Murcia al Teniente, con grado de Capitán, D. Roberto Macnamara; y Subtenencias de bandera en el propio Cuerpo y el de la Rey na al Sargento primero de granaderos D. Francisco Carceller y al Cadete D. Josef Amit. S. M. se ha servido nombrar pa</t>
  </si>
  <si>
    <t>Roberto Rollin</t>
  </si>
  <si>
    <t>a. Asimismo ha concedido el Rey la Tenencia Coronela del regimiento de infantería de Nueva-España á D. Roberto Rollin, Teniente Coronel graduado, y Sargento mayor del de infantería de Puebla. También se ha servido S. M. conferir el empleo de Sargento mayor del regiiniento de infantería Provincial</t>
  </si>
  <si>
    <t>Robertson</t>
  </si>
  <si>
    <t>e asegura que la Academia de ciencias de Petersburgo, con la mira de aprovecharse de la estancia de Mr. Robertson en aquella capital, para hacer una subida, consagrada únicamente á las ciencias, ha enea gido á este físico la construcción de un globo, el qual se halla patente en el salón de Líor</t>
  </si>
  <si>
    <t>iones que existen entre la ascensión del sonido y su progresión horizontal. La observación que hizo Mr. Robertson en su viage areostático en Hamburgo, el i$ de Julio de 1803, se confirma con lo que dice Mr. Sacharof: el polo norte de la aguja de declinación se ha hallado elevado de 10 grados. L</t>
  </si>
  <si>
    <t>so sobre este terreno, por no ser posible iixar la ancla en la tierra recien labrada; y percibiendo Mr. Robertson que iba á estrellarse contra dos árboles que se hallaban en su camino,, inclinó la extremidad de su vela hacia la tierra: de lo que resultó elevarse sobre los árboles, entre los q</t>
  </si>
  <si>
    <t>Roca, Antonio</t>
  </si>
  <si>
    <t>Antonio Roca</t>
  </si>
  <si>
    <t>tro de la villa de Constanti, diócesis de Tarragona, vacante por fallecimiento de D. Josef Cerda, á D. Antonio Roca. El Rey se ha servido nombrar para la plaza de Alcalde de su Real casa y corte, vacante por fallecimiento de D. Joaquín Herranz, ¿ Don Francisco Xavier Duran: para la de Oidor, qu</t>
  </si>
  <si>
    <t>Roca, Bartolomé</t>
  </si>
  <si>
    <t>Bartolomé Roca</t>
  </si>
  <si>
    <t>Basa; para un Beneficio, llamado Refitolero, de la catedral de Gercna, vacante por fallecimiento de D. Bartolomé Roca, y por no haberle admitido D. Josef Bernich, que estaba nombrado para él, á D. Josef Ferrer y Aymerich: para otro de la parroquia de Luna, en la propia diócesis de Zaragoza, vacan</t>
  </si>
  <si>
    <t>Rochambeau, General</t>
  </si>
  <si>
    <t>General Rochambeau</t>
  </si>
  <si>
    <t>saliñes.'’ D ieha proclama se Jiizovdti.r^.pte,lo_s„iq .&amp;&amp;. ar.tnis.ticlo que Desaliñes concedió al General Rochambeau , y se publicó en la ciudad del Cabo. A esta siguió otra -secunda- proelatpa- en nojnbre de Desaliñes, Cristóbal y Cierveaux ' ge les dé Sto. ¿Domingo , en nombre del pueblo negro</t>
  </si>
  <si>
    <t>iene los pliegos del Almirante Ducfcworth, en que da parte de la evacuación del Cabo Francés por ei General Rochambeau, y de la capitulación ajustada entre este General v el Conmodoro Loring, para la rendición de la esquadra francesa á las fuerzas británicas. En la misma gazeta se ha publicado el</t>
  </si>
  <si>
    <t>os ingleses han entrado en Delhi y en Agrá. , Se asegura que el gobierno ha negado la solicitud del General Rochambeau , que pedia permiso para pasar á Francia con sus oficiales, báxo su palabra de honor, por no haber concedido igual .permiso el primer Cónsul á igual número de oficiales ingleses e</t>
  </si>
  <si>
    <t>e haberse conseguido en Francia dos llamas que traxo de Santa Fe-dé Bogotá uno de los oficiales del General Rochambeau. Condüxéronse^á MaU: maison, en donde se les ha cuidado con el mayor esmero. La hembra parió á los 11 meses de preñez un solo hijo,que murió poco deSpues. Se han renovado con este</t>
  </si>
  <si>
    <t>Rochon</t>
  </si>
  <si>
    <t>instructivas en francés y castellano; obra útil para todos los que se dedican á la traducción: por Mr. Rochon. Se hallará á 6 rs. en pergamino y 8 efi pasta en la librería de la viuda de Cerro , calle de Alcalá. r Servir 4 buenos : comedia de Lope de Véga, segunda de la colección de las e</t>
  </si>
  <si>
    <t>Roclied, Manuel</t>
  </si>
  <si>
    <t>Manuel Roclied</t>
  </si>
  <si>
    <t>e D. Agustín Sánchez Iloyo, á D. Rafael Baeza: para otra de la misma Iglesia, vacante por muerte de D. Manuel Roclied , á D.’Antonio Torregrosa: para un Beneficio vacante en la Parroquial de S. Andrés de la ciudad de Valencia,ipor fallecimiento de D. Francisco Mateo Vizcayno, á D. Joaquín Ortólá</t>
  </si>
  <si>
    <t>Rodrigálvarez, Ignacio</t>
  </si>
  <si>
    <t>Ignacio Rodrigálvarez</t>
  </si>
  <si>
    <t>l de la villa de Prats de Rey, diócesi de Vique, vacante por fallecimiento de D. Antonio Batlles, á D. Ignacio Rodrigálvarez: para otro^ de la catedral de Gerona , llamado Epistolero, vacante por promoción de Don Buenaventura Casademont á otro de la propia iglesia, á D. Josef Forniob para otro de la par</t>
  </si>
  <si>
    <t>Rodrigiiez, Antonio</t>
  </si>
  <si>
    <t>Antonio Rodrigiiez</t>
  </si>
  <si>
    <t>141-25 Antonio Rodrigiiez............. Guadamuer.................... 141-25 Antonio Sánchez................. Morucia del Conde... 141-25 Joaquin Pascual..............</t>
  </si>
  <si>
    <t>Rodrigo Flores Picón</t>
  </si>
  <si>
    <t>la Princesa á D. Ramón Corrales: en el de Extremadura á-D. Blas San Millan, D. Fernando Rugidos y á D. Rodrigo Flores Picón: en ei de Málaga á D. Manuel Moreno, D. Pascual Ai varez Campana y D. Rafael España y Chico: en el de Jaén á D. Carlos Marrugat: en el de Ordenes Militares á D. Joaquín González d</t>
  </si>
  <si>
    <t>Rodrigo Ortiz Badiiio</t>
  </si>
  <si>
    <t>con el nombre de Bílbas, de 10$) ducados de principal, impuesto en ei propio. Consulado á nombre de D. Rodrigo Ortiz Badiiio, de quien lia justificado traer Causa; y n© habiendo podido darse por el insinuado D. Manuel de ia Fuente la mencionada fianza, con fincas libres; seguido expediente en su razón e</t>
  </si>
  <si>
    <t>Rodrigo Tavira</t>
  </si>
  <si>
    <t>r’sido castigado una vez , sea por lo que fuere), y dignos de publicarse, que fuéron los académicos D. Rodrigo Tavira, D. Juan Bautista Ceraini, D. Ignacio Empacan, D.. Juan de Cevallos, D. Antonio Gilman,, Cadete de Reales Guardias Walonas, y D. Fernando Adaiúde Yárza-; al seminarista mayor Don</t>
  </si>
  <si>
    <t>Rodríguez Aparicio, Félix Mateo</t>
  </si>
  <si>
    <t>Félix Mateo Rodríguez Aparicio</t>
  </si>
  <si>
    <t>dera en los de Valladolid, Ciudad-Rodrigo, Logroño, Ciudad-Real y Segovia á D. Josef María Viguera, D. Félix Mateo Rodríguez Aparicio, D. Carlos Pelayo Tolrá, D. Juan Hidalgo y D. Manuel Eduardo Gorostiza y Cepeda. Por Escribanía de la Cámara y de Gobierno del Consejo Real se ha comunicado, con fecha de 28 de Ju</t>
  </si>
  <si>
    <t>Rodríguez Bonell, Manuel</t>
  </si>
  <si>
    <t>Manuel Rodríguez Bonell</t>
  </si>
  <si>
    <t>el de Mallorca á D. Juan Francisco Suarez de Arango y D. Juan Wenceslao Henriquez: en el de León á D. Manuel Rodríguez Bonell: en el de Irlanda á D. Francisco Obregon y á D. Joaquín Rodríguez de Are llano: en el de Cantabria á D. Josef Armiñan: en el de Asturias á 'D. Francisco de Zayas: en el de Navarra</t>
  </si>
  <si>
    <t>Rodríguez de Amilano, Vicente</t>
  </si>
  <si>
    <t>Vicente Rodríguez de Amilano</t>
  </si>
  <si>
    <t>n la -de Montero, calle de la Concepción. Las tardes de la granja; traducción libre del francés por D. Vicente Rodríguez de Amilano; tomo 4.0 con 4 láminas, y al pie de cada una un epigrama moral alusivo al asunto que representa. En esta obra ( cuyo objeto es la mejor educación de los jóvenes ) se supone Un pa</t>
  </si>
  <si>
    <t>Rodríguez de Are, Joaquín</t>
  </si>
  <si>
    <t>Joaquín Rodríguez de Are</t>
  </si>
  <si>
    <t>Henriquez: en el de León á D. Manuel Rodríguez Bonell: en el de Irlanda á D. Francisco Obregon y á D. Joaquín Rodríguez de Are llano: en el de Cantabria á D. Josef Armiñan: en el de Asturias á 'D. Francisco de Zayas: en el de Navarra á D. Manuel Mendoza y D. MigueFRuano: en el de Aragón á D. Pedro Gacet,</t>
  </si>
  <si>
    <t>Rodríguez de Arellano, Vicente</t>
  </si>
  <si>
    <t>Vicente Rodríguez de Arellano</t>
  </si>
  <si>
    <t>frente á las gradas de S. Felipe el Real. Las tardes de la Granja; traducción libre del francés por D. Vicente Rodríguez de Arellano: tomo 5.0 con 4 láminas, y al pie de cada una un epigrama nioral alusivo al asunto que representa. En esta obra (cuyo objeto es la mejor educación de los jóvenes), se supone un pa</t>
  </si>
  <si>
    <t>la Cruz ; y en Zaragoza en la de Yagiie. Las tardes de la granja: traducción libre del francés por D. Vicente Rodríguez de Arellano: tomo 6° con 4 láminas finas, y al pie de cada una un epigrama moral alusivo al asunto que representa. En esta obra (cuyo objeto es la mejor .educación de los jóvenes) se supone u</t>
  </si>
  <si>
    <t>hijo de Quiroga, calle de las Carretas. Las Tardes1 de la granja: traducción líbre del francés por D. Vicente Rodríguez de Arellano: tomo 8.° y último, con 4 láminas, y al pie de cada una un epigrama moral adusivo al asunto que representa. En esta obra (cuyo objeto es la mejor educación de los jóvenes) se supo</t>
  </si>
  <si>
    <t>Rodríguez de AreÜano, Vicente</t>
  </si>
  <si>
    <t>Vicente Rodríguez de AreÜano</t>
  </si>
  <si>
    <t>la viuda de Ibarra, calle de la Gorgnera. Las Tardes de la granja /traducción libre del francés por D. Vicente Rodríguez de AreÜano: tomo 7.0, con 4 láminas Enafc, y al pie de cada una un epigrama moral, alusivo al asunto que representa. En esta obra f cuycnobjeto es la mejor educación de los jóvenes) se supon</t>
  </si>
  <si>
    <t>Rodríguez de Cárdenas, Antonio</t>
  </si>
  <si>
    <t>Antonio Rodríguez de Cárdenas</t>
  </si>
  <si>
    <t>do S. M. nombrar para una plaza de Oidor de la Real Audiencia de Filipinas, vacante por renuncia de D. Antonio Rodríguez de Cárdenas, á D. Manuel Dionisio de Velasco, Abogado de los Reales Consejos y de las Audiencias de Charcas y Buenos-Ayres; y para el Corregimiento de la villa del Socorro en el Vireynato de</t>
  </si>
  <si>
    <t>la, vacante por promoción de D. Jacobo de V¡Uaurrutia á la de Alcalde del crimen de la de México, á D. Antonio Rodríguez de Cárdenas, Teniente letrado y Asesor del Gobierno é Intendencia de Veracruz, y Oidor honorario que era de la misma Audiencia. El Consejo, ¿ concita de la Comisión gubernativa de Consolidaci</t>
  </si>
  <si>
    <t>letrado , y Asesor ordinario de la Intendencia de la Provincia cié Vcracruz, vacante por ascenso de Don Antonio Rodríguez de Cárdenas á plaza de Oidor de la Audiencia de Guatemala, á D. Pedro Telmo Landero, electo Asesor del Gobierno c Intendencia de Durango. El dia 9 de Mayo del corriente año, á los 83 cumplido</t>
  </si>
  <si>
    <t>Rodríguez de la Madrid, Juan</t>
  </si>
  <si>
    <t>Juan Rodríguez de la Madrid</t>
  </si>
  <si>
    <t>ería de Caracas se ha servido el Rey conceder el empleo de Teniente al Alférez del propio esquadron D. Juan Rodríguez de la Madrid ; el de Alférez al Portaestandarte D. Josef María Uztariz; y esta resulta áí Cadete D. Francisco Pelaez. Asimismo ha nombrado S. M. Viréy , Gobernador y Capitán general de las pro</t>
  </si>
  <si>
    <t>Rodríguez de Pedroso, Francisco Ignacio</t>
  </si>
  <si>
    <t>Francisco Ignacio Rodríguez de Pedroso</t>
  </si>
  <si>
    <t>na: para esta Canangía al Racionero de la propia D.Cayetano Josef de Fonc.eradav para esta Ración á D. Francisco Ignacio Rodríguez de Pedroso , Medio-Racionero de la citada metropolitana; y para esta resulta á IX J uan Francisco Domínguez, Cura del Sagrario de la expresada metropolitana. Por el Ministerio de Hacienda se</t>
  </si>
  <si>
    <t>Rodríguez de Ribera, Joaquín</t>
  </si>
  <si>
    <t>Joaquín Rodríguez de Ribera</t>
  </si>
  <si>
    <t>ubteniente de granaderos D. Francisco Collantes; y á Subteniente de bandera en el de Jaén al Cadete D. Joaquín Rodríguez de Ribera. En el batallón de Voluntarios de Valencia se ha servido el Rey pro</t>
  </si>
  <si>
    <t>Rodríguez de Toro, Antonio</t>
  </si>
  <si>
    <t>Antonio Rodríguez de Toro</t>
  </si>
  <si>
    <t>aquín Góngora, y á Tenientes á los Subtenientes D. Bartolomé Gutiérrez, D. Francisco Campo Redondo, D. Antonio Rodriguez de Toro, D. Amadeo de Mora, D. ídatias Moñino y D. Luis García Piña. En los regimientos provinciales se ha servido S. M. promover á Capitán de granaderos del de Ecija al de fusileros del</t>
  </si>
  <si>
    <t>Rodríguez Guerra, Rafael</t>
  </si>
  <si>
    <t>Rafael Rodríguez Guerra</t>
  </si>
  <si>
    <t>aquín Elgueta, D. Francisco Sarachaga, D. Josef García Joves, ÍD- Miguel Valdasano, D. Josef Leyva, D. Rafael Rodríguez Guerra,,0O. llamón Ortiz Canelas, D. Joaquín de Mora, D. Alonso Solís, X&gt;. Jjunan Robredo, D. Josef Luyando, D. Joaquín de Arce y D. Francisco Perez de Grandallana. A Tenientes de Fragat</t>
  </si>
  <si>
    <t>Rodríguez Monge, Manuel</t>
  </si>
  <si>
    <t>Manuel Rodríguez Monge</t>
  </si>
  <si>
    <t>de D, Juan Fran-' cisco de-Avéndaño á la Abadía de Peñalba, Dignidad de la catedral de ■Astorga, á D. Manuel Rodríguez Monge. En la Compañía Americana del Real cuerpo de Guardias de Corps ha nombrado el Rey Cadete de número al Supernumerario D. Juan Rodríguez; y Supernumerarios á los Guardias D. Ignacio</t>
  </si>
  <si>
    <t>Rodríguez Moreno, Pedro</t>
  </si>
  <si>
    <t>Pedro Rodríguez Moreno</t>
  </si>
  <si>
    <t>a y D. Tomas Sánchez Céspedes; Guarda-Almacén extraordinario al Ayudante de GuardaAlmacén reformado D. Pedro Rodríguez Moreno, y Sobrestante Pagador á D. Antonio Alarcon. En América. Habiendo tenido el Rey por conveniente restablecer el empleo de Asesor y Auditor de Guerra del Gobierno y Presidencia de l</t>
  </si>
  <si>
    <t>Rodríguez Moriiía, Juan Antonio</t>
  </si>
  <si>
    <t>Juan Antonio Rodríguez Moriiía</t>
  </si>
  <si>
    <t>, propio de D. Manuel Domingo Morilla', Doña Hermógena y Doña Isidora Morilla, hijos y herederos de Don Juan Antonio Rodríguez Moriiía , y vecinos de la villa de Albacete, acuda á tratar de ajuste con D. Rafael JBarceló, Agente de negocios, calle de la Comadre, núm. 35 , quarto principal, quien se halla con todas</t>
  </si>
  <si>
    <t>Rodríguez, Agustín</t>
  </si>
  <si>
    <t>Agustín Rodríguez</t>
  </si>
  <si>
    <t>. Rs. mrs. Agustín Rodríguez,............ Arenas............................ J4Í-*3S Tomas Loise; id............... .. Madrid—.................... 283-16 Juan’Oarcía.........</t>
  </si>
  <si>
    <t>Rodríguez, Andrés</t>
  </si>
  <si>
    <t>Andrés Rodríguez</t>
  </si>
  <si>
    <t>Capitán, D. Antonio Molina: en el de León Subtenencia de bandera al Sargento^ primero de granaderos D. Andrés Rodríguez : en ei de América- Tenencia al Subteniente de granaderos D. Carlos Porta, y Subtenencia-de bandera al Sargento primero de granaderos D. Miguel Aloy; y en el de-Extremadura Ayudan</t>
  </si>
  <si>
    <t>Rodríguez, Antonio</t>
  </si>
  <si>
    <t>Antonio Rodríguez</t>
  </si>
  <si>
    <t>Juan Avello; y Subtenencias de bandera en el expresado de América aí Sargento primero de granaderos D. Antonio Rodríguez, y á los Cadetes D. Josef Espinosa y D. Juan Moreno. S. M. se ha dignado conceder en el Regimiento de infantería de Córdoba Tenencias á ios Subtenientes de granaderos P. Josef Con</t>
  </si>
  <si>
    <t>Varela , herido el Guardia Marina D. Julio Ponce, el segundo Piloto D. Josef Solórzano , el Pilotín D. Antonio Rodríguez, y otros varios individuos, arriamos la bandera , quando consideramos que quedaba ya bien puesto el honor de las armas del Rey, y que el combate que sosteníamos con el navio de gu</t>
  </si>
  <si>
    <t>Rodríguez, Bartolomé</t>
  </si>
  <si>
    <t>Bartolomé Rodríguez</t>
  </si>
  <si>
    <t>dad, y la exposición de todas ellas, hasta las nuevamente recopiladas en el año de 1773 *• su autor D. Bartolomé Rodríguez deFonseca: 18 tomos en fóli®, á 30 rs. cada uno en pergamino y 38 en pasta. Se hallarán en el despacho de la Imprenta Real. Para el remate de las casas, calle de la Zarza, niim. 15,</t>
  </si>
  <si>
    <t>Rodríguez, Carlos</t>
  </si>
  <si>
    <t>Carlos Rodríguez</t>
  </si>
  <si>
    <t>romover en el de Borbon á Ayudante á D. Antonio González: á Tenientes en los de Farnesio y España á D. Carlos Rodríguez y D. Josef Paez; y á Alférez en el de Santiago al portaestandarte D. Manuel Correas. En los de caballería ligera igualmente, se ha servido S. M. conferir Compañía en eld¡e Cazadores ;</t>
  </si>
  <si>
    <t>Rodríguez, Domingo</t>
  </si>
  <si>
    <t>Domingo Rodríguez</t>
  </si>
  <si>
    <t>de Julio de 1801. Por providencia del Sr. Alcalde D. Juan Antonio Inguanzo, y por la escribanía d$, D, Domingo Rodríguez, se ha mandado volver á subastar una casa sita en la calle del Mediodía grande, núm. 10, manz. no, su sitio 3540 pies quadrados superficiales, valuada en 11(5,331 rs., que produce</t>
  </si>
  <si>
    <t>Rodríguez, Domingo Alonso</t>
  </si>
  <si>
    <t>Domingo Alonso Rodríguez</t>
  </si>
  <si>
    <t>nero de ella: para otra'dé la propia iglesia, vacante por muerte de D. Francisco Acedo y Torres , á D. Domingo Alonso Rodríguez, Gura párroco de la villa de Camarina, en la misma diócesis: para la Canonjía Cardenalicia de la catedral de Orense, vacante por fallecimiento dé Di‘Francisco Rigueyra y Puga, á D</t>
  </si>
  <si>
    <t>Rodríguez, Francisco Antonio</t>
  </si>
  <si>
    <t>Francisco Antonio Rodríguez</t>
  </si>
  <si>
    <t>el de Negrete, segundo del de Blancos de la misma ciudad: para esta resulta ai Subteniente veterano D. Francisco Antonio Rodríguez: para la segunda Ayudantía de la Plana mayor de Blancos, agregada al batallón de Milicias dePardos de la propia ciudad, á D. Francisco de Paula Alburquerque, Cadete del Ve</t>
  </si>
  <si>
    <t>Rodríguez, Juan</t>
  </si>
  <si>
    <t>Juan Rodríguez</t>
  </si>
  <si>
    <t>mericana del Real cuerpo de Guardias de Corps ha nombrado el Rey Cadete de número al Supernumerario D. Juan Rodríguez; y Supernumerarios á los Guardias D. Ignacio Mora y D. Josef Pacheco. ,S. M. se ha servido nombrar Guarda-Almacén ordinario de Artillería, de la plaza de Cartagena á D. Carlos Góm</t>
  </si>
  <si>
    <t>egas, Sargento pri­ Juan Rodríguez.................. Traga............................... 141 •25 mero. ............¿.................. Barca*rcta...................... £&lt;56..14 Bor.iíar.io Blanco</t>
  </si>
  <si>
    <t>Castillejo de Azaba, en el obispado de Ciudad-Rodrigo, vacante por muerte de D. Felipe Breciani * á D. Juan Rodríguez, Cura del lugar de Peñaparda en el mismo obispado; y pára la Prestamera de la villa de Cañada del Hoyo, en el de Cuenca, por muerte de D. Miguel Ortiz, á</t>
  </si>
  <si>
    <t>Rodríguez, Juan Rafael</t>
  </si>
  <si>
    <t>Juan Rafael Rodríguez</t>
  </si>
  <si>
    <t>itana de Caracas, vacante por promoción de D. Santiago Zuloaga á la Dignidad ¿e Tesorero de ella, á D. Juan Rafael Rodríguez, Medio-Racionero de la misma Iglesia. Asimismo ha nombrado el Rey para una plaza de Oidor de la Audiencia de Manila, en las islas Filipinas, á D. Matías Faes de Miranda: para el e</t>
  </si>
  <si>
    <t>Rodríguez, Julián Antonio</t>
  </si>
  <si>
    <t>Julián Antonio Rodríguez</t>
  </si>
  <si>
    <t>de dos cocinas económicas, aplicadas á los usos que hay en España de componer las comidas &amp;c., por D. Julián Antonio Rodríguez, Arquitecto al servicio de S. M. Contiene esta obra la descripción y uso de una cocina económica; las ventajas de ella, de las quales las principales son: un ahorro de carbón de l</t>
  </si>
  <si>
    <t>Rodríguez, Manuel</t>
  </si>
  <si>
    <t>Manuel Rodríguez</t>
  </si>
  <si>
    <t>brerías de Escribano/calle dé las Carretas, y en Lv de Esparza, puerta del Sol, y en casa del autor D. Manuel Rodríguez, calle de la Montera, núm. 28. Se darán por tomos sueltos y las estampas para mayor comodidad del público. En la librería de Castillo se halla un exemplar del primer trimestre de</t>
  </si>
  <si>
    <t>............ 141-25 Manuel Rodríguez............... Sevilla................................. 14 Francisco Jacinto López...... Torrijos,........................ . 141-25 Gregorio R</t>
  </si>
  <si>
    <t>........... 141..15 Manuel Rodríguez............... Mora..................... 141 '•25 Juan Labro.......;......... Zaragoza.................................. 141..25 Lorenzo Hurtado.......</t>
  </si>
  <si>
    <t>Rodríguez, Miguel</t>
  </si>
  <si>
    <t>Miguel Rodríguez</t>
  </si>
  <si>
    <t>s de occidental y oriental, ha nombrado para Asesor y Auditor de Guerra dei Gobierno de la última á D. Miguel Rodríguez, Abogado de los Reales Consejos. Igualmente se ha servido S. M. conferir el empleo de Teniente letrado , y Asesor ordinario de la Intendencia de la Provincia cié Vcracruz, vacante</t>
  </si>
  <si>
    <t>de la parte oriental de las provincias internas de Nueva-España, que ha vacado por fallecimiento de D. Miguel Rodríguez, á D. Josef María Relaño y Arias, Abobado de sus Reales Consejos , y de los del Colegio de Cádiz. También ha concedido S. M. jubilación al Secretario de la Presidencia del Consejo</t>
  </si>
  <si>
    <t>Rodríguez, Nicolás</t>
  </si>
  <si>
    <t>Nicolás Rodríguez</t>
  </si>
  <si>
    <t>servido conferir para el Arceiianato titular de la Catedral de Vailadolid, vacante por promoción de D. Nicolás Rodríguez de</t>
  </si>
  <si>
    <t>Rodríguez, Pedro</t>
  </si>
  <si>
    <t>Pedro Rodríguez</t>
  </si>
  <si>
    <t>Voluntarios: áTejientes en los del ReyyBorbon y Santiago á D. Miguel de Corpas, Don Josef Sarralde, D. Pedro Rodríguez y D. Francisco Serrano: á Alférez en él de Farnesio á D. Josef Fernandez de Castro, Portaestandarte del</t>
  </si>
  <si>
    <t>Rodríguez, Pedro Alonso</t>
  </si>
  <si>
    <t>Pedro Alonso Rodríguez</t>
  </si>
  <si>
    <t>es y religión de la nación Española, con advertencias político-morales á los padres y maestros, por D. Pedro Alonso Rodríguez, con privilegio, segunda edición. EÍ pronto despacho de los tres mil exemplares de la primera edición acredita a\ aprecio que ha merecido al público esta obra; y prefiriendo el au</t>
  </si>
  <si>
    <t>Rodríguez, Tomás</t>
  </si>
  <si>
    <t>Tomás Rodríguez</t>
  </si>
  <si>
    <t>antía al Teniente, graduado de Capitán, D. Antonio Leglisa, y Tenencia al Subteniente de granaderos D. Tomas Rodríguez. El Rey ha nombrado Conductor del Real cuerpo de Artillería en el quarto. regimiento de la Corana á D. Joseph Sótelo, Sargento primero1 distinguido del propio regimiento. Eii Amér</t>
  </si>
  <si>
    <t>esta corte á D. Andrés Saenz Durango, calle de Francos, núm. 10, pasado el mirador; en Valladolid á D. Tomas Rodriguez.de Cela, Regidor perpetuo de dicha ciudad, y en Cáceres á E&gt;. Pedro Rodríguez de Cela, Alcalde del crimen de aquella Real Audiencia. Los subscriptores á la cBra titulada Directori</t>
  </si>
  <si>
    <t>Rogers, Capitán</t>
  </si>
  <si>
    <t>Capitán Rogers</t>
  </si>
  <si>
    <t>L VIERNES 9 DE MARZO DE 1804. ESTADOS-UNIDOS DÉ AMERICA. ; \Vashln^toit 7 de Diciembre de iSo ^. EL Capitán Rogers ha traído la noticia del restablecimiento de la paz entre los Estados-Unidos y el Emperador de Marruecos. Durante la negociación se mantuvieron nuestras fraga-tas amarradas en iín</t>
  </si>
  <si>
    <t>Roig, Miguel</t>
  </si>
  <si>
    <t>Miguel Roig</t>
  </si>
  <si>
    <t>vajal, Sargentos primeros veteranos del Regimiento de Milicias disciplinadas de dragones de Lima, á D. Miguel Roig, Sargento primero veterano del batallón de Milicias de Españoles de Lima, y á D. Mariano Jurado, Sargento primero de la plana mayor de Blancos, agregada al batallón de Milicias di</t>
  </si>
  <si>
    <t>Román</t>
  </si>
  <si>
    <t>ez. ; / ;i , En la gazeta núm. 23 , pág. 261 , lín*. n, donde dice D. Rípmon del'Agüila, debe decir D. Román,... . : ‘ pesos , núms. 325309, 2 274047 2 2/42 1 , 2 27446 2 27544 ,’ 2 4Í5&gt;95 , 24^5^, 252418, 254489, 2;5584o', 25897^5 , 26284/; 27-17034 27375§ "¿77^78,•’ 277798 , 278521 , 2</t>
  </si>
  <si>
    <t>Román García</t>
  </si>
  <si>
    <t>ara una Capellanía de número de la de Santo Domingo de la Calzada, por muerte de D. Felipe Mayor, á D. Román García: para una Ración de la Colegial, de Cascante, en el Reyno de Navarra, y Obispado de Tarazona, por fallecimiento de D. Fermín Guirior, á Don Ramón Tutor, Cura Párroco de Fontellas,</t>
  </si>
  <si>
    <t>Román Manuel Esteve</t>
  </si>
  <si>
    <t>rroquial de S&gt; Miguel de la ciudad de Murcia; por fallecimiento de D. Agustín, Barrera y Narvaez, á D. Román Manuel Esteve, presbítero de la propia ciudad. También ha nombrado S. M para ei Priorato de las Ermitas , Dignidad de la metropolitana de Sevilla, vacante por fallecimiento deD. Josef Cavaniile</t>
  </si>
  <si>
    <t>Román Martínez Gayón, Lorenzo</t>
  </si>
  <si>
    <t>Lorenzo Román Martínez Gayón</t>
  </si>
  <si>
    <t>az, á quien hay que entregar algunos intereses que la corresponden; para cuyo-efecto podrá,acudir á D. Lorenzo Román Martínez Gayón, que vive calle del Estudio de la villa, detras de los Consejos, casa de la Vicaría vieja, núm. i &gt; quarto principalque pedirá los documentos correspondientes que acrediten la leg</t>
  </si>
  <si>
    <t>Román, Manuel</t>
  </si>
  <si>
    <t>Manuel Román</t>
  </si>
  <si>
    <t>............ »4'-25 Manuel Román................... Vil acañas..................... . i4»-25 Josquin Mitanes................... Fiuga................................. 141..2 5 Sebastian Alcor....</t>
  </si>
  <si>
    <t>Román, Pedro</t>
  </si>
  <si>
    <t>Pedro Román</t>
  </si>
  <si>
    <t>o de la villa de Arévalo en la Diócesi de Avila: para una Ración de la de Valiadolid, por muerte de D. Pedro Román, á_D. Josef Orejón, Cura de la Parroquial de S. Benito el Viejo de aquella ciudad: para una Media-Ración de la de Ciudad-Rodrigo, por promoción de D. Roque Piñuela á Canongía de l</t>
  </si>
  <si>
    <t>Romana, Juan Miguel</t>
  </si>
  <si>
    <t>Juan Miguel Romana</t>
  </si>
  <si>
    <t>os al ¿obteniente de granaderos D. Antonio Luis Aleado; á Subteniente de granaderos ai de fusileros D. Juan Miguel Romana, y á Subteniente de bandera al Cadete D. Francisco Roa. Asimismo ha concedido el Rey la Tenencia Coronela del regimiento de infantería de Nueva-España á D. Roberto Rollin, Tenient</t>
  </si>
  <si>
    <t>Romano, Coronel</t>
  </si>
  <si>
    <t>Coronel Romano</t>
  </si>
  <si>
    <t>puesto de 700 Albancses. El General Baschmetieíf, Mr. Sarokin, el Príncipe Dologouki, y el Teniente Coronel Romano han ido á visitar á SantAngelo y demas puestos de la isla , susceptibles de ser fortificados. Cadi-Bey está mandando 6 naves turcas, y acaba de recibir de Constantinopla una fraga</t>
  </si>
  <si>
    <t>Romay, Tomás</t>
  </si>
  <si>
    <t>Tomás Romay</t>
  </si>
  <si>
    <t>agudos dolores en las articulaciones, con postración de fuerzas y abatimiento de espíritu.” El Di*. D. Tomas Romay, que es quien hace este extracto, dice en una nota lo siguiente: ,, El uso externo del aceyte de olivas en el vómito negro no es un auxilio desconocido á los profesores de esta ci</t>
  </si>
  <si>
    <t>Rome, Manuel</t>
  </si>
  <si>
    <t>Manuel Rome</t>
  </si>
  <si>
    <t>gos; y Subtenencias en los de Asturias, Navarra y Voluntarios de ia Corona á los Sargentos primeros D. Manuel Rome</t>
  </si>
  <si>
    <t>Romero, Francisco</t>
  </si>
  <si>
    <t>Francisco Romero</t>
  </si>
  <si>
    <t>141-25 Francisco Romero............... Herencia.......................... 141-25 Manuel Barroso................ Naval Moral.. 141-25 Ignacio Jorge................</t>
  </si>
  <si>
    <t>nia de la villa de Tiña de Campos, en el Obispado de Falencia, por muerte de D. Carlos Carric.n , á D. Francisco Romero, ex- Comendador del monasterio de Murcia de la extinguida orden de S. Antonio Abad; y para el Priorato rural de Torre de Garci Fernandez, en el de Jaén, por muerte de D. Vicente G</t>
  </si>
  <si>
    <t>Romero, Vicente</t>
  </si>
  <si>
    <t>Vicente Romero</t>
  </si>
  <si>
    <t>Juan de Mariana, escrita en latín por el P. Fr. Josef Manuel Mlñana, y traducida al castellano por Don Vicente Romero, Oficial de la Secretaría de Estado y del Despacho de Hacienda de Indias: un tomo en folio. En el año de 1794 se dio á luz la primera vez esta nueva traducción, en seguida de la i</t>
  </si>
  <si>
    <t>Romoj'y, Diego Martín</t>
  </si>
  <si>
    <t>Diego Martín Romoj'y</t>
  </si>
  <si>
    <t>e Granada , á D. Josef Antonio de los Riost para una Capellanía de Señores Reyes nuevos de Toledo á D. Diego Martin Romoj'y para otras dos del número y coro de aquella santa iglesia, para la primera á D. Domingo de Herrera, y para la segunda á Don Narciso González. ' £1 Rey se ha servido conceder Compa</t>
  </si>
  <si>
    <t>Roque Abarca</t>
  </si>
  <si>
    <t>l de la Nueva-Gálicia ¿ y Presidente dé la Real Audiencia de Guadalaxara: esta resulta al Brigadier D. Roque Abarca, Subinspector general de las tropas de Guatemala: á Comandante general y Presidente de la Real Audiencia del Cuzco al Brigadier D. Francisco Muñoz de S. Clemente, Teniente de Rey</t>
  </si>
  <si>
    <t>Roque Díaz</t>
  </si>
  <si>
    <t>o^11). JAcanta Romarate, D. Josef Corones, D. Nicolás de la Vega, D/MamutE Lasqucti, D. Ramón Rato, Don Roque Diaz,D. Miguel Daza,D. Diegf ]fadara,D. RamónTrullol, Don Juan Olaegui, D. Víctor Vinader, D.,.Vicente de Lago, D. Pedro Landazuri, D. Joaquín de Soroa, D. Adriinti.Morquecho, D. Barto</t>
  </si>
  <si>
    <t>Roque Gómez Naranjo</t>
  </si>
  <si>
    <t>ada de la Concepción, de la catedral de Ostna , vacante por fallecimiento de D. Vicente Latorre , á D. Roque Gómez Naranjo: para la plaza de Sacristán mayor del Real y primer monasterio de rel'giosas de la Visitación de Ntra. Sra. de Madrid, vacante por jubilación de D. Diego Albarrilla, á D. Ramón So</t>
  </si>
  <si>
    <t>Roque Ireguí</t>
  </si>
  <si>
    <t>Alvarez Guitian , y á Ayudante segundo, con grado de Subteniente , al Sargento primero de cazadores D. Roque Ireguí. Asimismo en ei regimiento de infantería de Nueva-España se ha servido S» M. promover á Capitán al Ayudante D. Pedro Dilate, y á Ayudante al Teniente de granaderos D. Josef Maldon</t>
  </si>
  <si>
    <t>Roque Parrada</t>
  </si>
  <si>
    <t>igadier D. Josef Guillen y al Cadete D. Antonio Pascual Barradas; á Brigadieres á los Subrigaáieres D. Roque Parrada y 1D. Manuel Pallares; á Subrigadieres á los Cadetes D. Manuel Mozota y D. Joaquín Soraviíia ; á Cadetes de numero á los supernumerarios D. JóséfPretel, D. Cristóbal Muñoz y D. Jose</t>
  </si>
  <si>
    <t>Roque Piñuela</t>
  </si>
  <si>
    <t>Benito el Viejo de aquella ciudad: para una Media-Ración de la de Ciudad-Rodrigo, por promoción de D. Roque Piñuela á Canongía de la de Zamora, á D. Julián García Barrientos, Cura de la Parroquial de S. Cristóbal de aquella ciudad: para el Arciprestazgo de Campo con Melgar , en el Arzobispado d</t>
  </si>
  <si>
    <t>Roque Rodrigo de Mena</t>
  </si>
  <si>
    <t>lugar de I os Valbases, diócesis de Burgos, vacante por fallecimiento de D. Manuel Isla y Ayala, á D. Roque Rodrigo de Mena: para el Beneficio de Alixar, término rural de la Vicaría de S. Lúcar de Barrameda, vacante por haber tomado estado de matrimonio D. Josef María de Roxas, y para el de Tejada, en</t>
  </si>
  <si>
    <t>Ros y Dordas, Pablo</t>
  </si>
  <si>
    <t>Pablo Ros y Dordas</t>
  </si>
  <si>
    <t>s, á D. Clemente Casellas; y para otro de la misma iglesia, vacante por renuncia de D. Jayme Rui, á D. Pablo Ros y Dordas. S. M. se ha servido promover á Capitán segundo en el primer batallón de Voluntarios de Aragón al Teniente D. Cayetano Abascal: á Teniente en el regimiento de infantería de Córdob</t>
  </si>
  <si>
    <t>Rosa Gálvez, María</t>
  </si>
  <si>
    <t>María Rosa Gálvez</t>
  </si>
  <si>
    <t>mplona en la de Longas: en Salamanca en la de Barcos y en Plasencia en la de Pis. Obras poéticas de Doña María Rosa Gálvez: tres tomos en 8.® mayor, que contienen poesías líricas y dramáticas de diversos géneros y asuntos. Se venden en la librería de Castillo, á 24 rs. en rústica y 36 en pasta. En la</t>
  </si>
  <si>
    <t>Rosa María</t>
  </si>
  <si>
    <t>estador; y como no han comparecido Jos de lds otros 4 hermanos, nombrados D. Cristóbal, D. Eugenio, Doña Rosa María y D oña Francisca Eustaquia, apareciendo fueron naturales del lugar de Tañes', se hace notorio, á fin de que llegando á noticia de los interesados, acudan por la secretaría del Perú y</t>
  </si>
  <si>
    <t>Rosa María y Francisca Eustaquia Suárez</t>
  </si>
  <si>
    <t>sucesión; y últimamente declaró por sus universales herederos á D. Cristóbal, D. Eugenio, D. Juan, Doña Rosa María y Doña Francisca Eustaquia Suarez, sus hermanos. Librado el correspondiente Real despacho á ii Justicia del Puerto de Sta. María, de donde fué natural el referido D. Francisco Suarez, en 28 de Enero de 1798 , cita</t>
  </si>
  <si>
    <t>Rosa Ruiz de Temez</t>
  </si>
  <si>
    <t>tas horas, en su casa calle de la Ruda, núm* 4, quarto 2.0, casa de los dos Pozos. Los herederos de Doña Rosa Ruiz de Temez, vecina que fué de esta Corte, acudan en el perentorio término de 15 días, por sí ó procurador con poder bastante, ante el Sr. D. Torquato Antonio Collado, del Consejo de S. M., T</t>
  </si>
  <si>
    <t>Rosales, Miguel</t>
  </si>
  <si>
    <t>Miguel Rosales</t>
  </si>
  <si>
    <t>obo Chico de Guzman: en el de Extremadura Compañía al Teniente de granaderos , graduado de Capitán, D. Miguel Rosales; y Subtenencia de bandera al Cadete D. Alexandro San Millan; y en el de las Ordenes Militares Compañía al Ayudante, graduado de Capitán, D. Angel Bayon, y Tenencia al Subteniente</t>
  </si>
  <si>
    <t>Rose</t>
  </si>
  <si>
    <t>en la Cámara de los Comunes, dei ^misino dia, se ha diferido hasta el miércoles. Dixo en esta junta Mr. Rose, que estaba autorizado por un miembro de la Cántara , ausente (Mi. Pítt), á decir que habia recibido orden de S. M. de presentarle el plan de un nuevo ministerio---- Mr. Pitt tuvo</t>
  </si>
  <si>
    <t>Rosenthal</t>
  </si>
  <si>
    <t>aballero Conde de Stackelberg le ha dado unas tierras Je mucho valor en Curlandia,y otras iguales á Mr. Rosenthal. Este es el único súbdito de S.M. I. que sea Caballero de la orden de Cincinnato. Aunque se ha dicho que el Embaxador Francés habia salido de Constantinopla , se asegura sin embar</t>
  </si>
  <si>
    <t>Rovira, Buenaventura</t>
  </si>
  <si>
    <t>Buenaventura Rovira</t>
  </si>
  <si>
    <t>o Benet: para otro de la Catedral de Tortosa, vacante por fallecimiento de D. Bartolomé Pallares, á D. Buenaventura Rovira. El Rey se ha servido conferir Compañía en el regimiento de infantería de Murcia al Ayudante, graduado de Teniente Coronel, D. Gerónimo Rengel: Tenencias en el de Extremadura a lo</t>
  </si>
  <si>
    <t>Roxas, Antonio</t>
  </si>
  <si>
    <t>Antonio Roxas</t>
  </si>
  <si>
    <t>gualmente S. M. conferir compañía en el de Voluntarios de España al Ayudante, con grado de Capitán, D. Antonio Roxas : empleo de Teniente en el de María Luisa á D. Josef Golfín; y el de Alférez en el mismo cuerpo al Sargento primero D. Pedro San) urjo. En la madrugada del 20 de este mes falleció</t>
  </si>
  <si>
    <t>Roxo de Flores, Felipe</t>
  </si>
  <si>
    <t>Felipe Roxo de Flores</t>
  </si>
  <si>
    <t>a se descubren los conocimientos necesarios para la historia de esta materia importante : sit autor D. Felipe Roxo de Flores , Fiscal de la Real Hacienda en la provincia de Zamora &amp;c. : un tomo en 8.®: segunda edición. Se hallará á 5, rs. á la rústica en</t>
  </si>
  <si>
    <t>Ru, Manuel</t>
  </si>
  <si>
    <t>Manuel Ru</t>
  </si>
  <si>
    <t>Doña Catalina Germán y Hugalde. En Murcia........... Sres. Moreda y Ladalid. En Oviedo.......... .. D. Manuel Ru,biano. _ En Patencia........ í&gt;. Nicqlas Calonge. En Palma.............D. Martin Mayol. En Pamplona....... Sres. viuda de Barbería é hijo. En Salamanca..... Sres, Terrero v Casajs</t>
  </si>
  <si>
    <t>Ruano Calderón, Francisco</t>
  </si>
  <si>
    <t>Francisco Ruano Calderón</t>
  </si>
  <si>
    <t>nez y D. Mariano Rodríguez: á Subtenientes de granaderos en los de Eeija y Avila á los de fusileros D. Francisco Ruano Calderón y D. Fermín Monge; y á Subtenientes de bandera en los de Valladolid, Ciudad-Rodrigo, Logroño, Ciudad-Real y Segovia á D. Josef María Viguera, D. Félix Mateo Rodríguez Aparicio, D. Car</t>
  </si>
  <si>
    <t>Ruano, Miguel</t>
  </si>
  <si>
    <t>Miguel Ruano</t>
  </si>
  <si>
    <t>regimiento de infantería de Mallorca; á D. Antonio Hurtado, D. Josef Navarro, D. Francisco Ruarte, D. Miguel Ruano, D. Juan Pablo Sebastian y D. Andrés, A rango, Subtenientes de los de Güadalaxara, Princesa , Valencia , Navarra y Granada ; á D. Tomas Soldevilla , Teniente del provincial de Avi</t>
  </si>
  <si>
    <t>Ruarte, Francisco</t>
  </si>
  <si>
    <t>Francisco Ruarte</t>
  </si>
  <si>
    <t>te y Subtenientes del regimiento de infantería de Mallorca; á D. Antonio Hurtado, D. Josef Navarro, D. Francisco Ruarte, D. Miguel Ruano, D. Juan Pablo Sebastian y D. Andrés, A rango, Subtenientes de los de Güadalaxara, Princesa , Valencia , Navarra y Granada ; á D. Tomas Soldevilla , Teniente del</t>
  </si>
  <si>
    <t>Ruata, Ignacio</t>
  </si>
  <si>
    <t>Ignacio Ruata</t>
  </si>
  <si>
    <t>yudante mayor de las milicias disciplinadas de blancos de la isla Margarita al Subteniente veterano D. Ignacio Ruata; y para el de Subteniente voluntario de las propias milicias al Cadete D. Josef María Frontado. Para el empleo de Teniente y Subteniente de la Compañía de milicias disciplinadas d</t>
  </si>
  <si>
    <t>Rubiano, Manuel</t>
  </si>
  <si>
    <t>Manuel Rubiano</t>
  </si>
  <si>
    <t>a Catalina Germán y Fugalde. ; En Murcia............ Sres. Moreda y Ladalid. En Oviedo..............D. Manuel Rubiano. En Palenda........ D. Nicolás Calonge é hijo. En Palma........... D. Martin Mayol. En Pamplona........Sres. viuda de Barbería é hijo. En Salamanca...... Sres. LTrrero y Casaseca.</t>
  </si>
  <si>
    <t>..Doña Catalina Germán y Hugalde* En Murcia...........Sres. Moreda y Ladalíd. En Oviedo............ D. Manuel Rubiano. En Palenda.........D. Nicolás Calonge é hijo. En Palma............ D. Martin Mayol. En Pamplona....... Sres. viuda de Barbería é hijo. En Salamanca......Sres. Urrero y Casaseca.</t>
  </si>
  <si>
    <t>Rubín de Cclis, Manuel Antonio</t>
  </si>
  <si>
    <t>Manuel Antonio Rubín de Cclis</t>
  </si>
  <si>
    <t>l de Cos y Viveroque vive plazuela de la Encarnación, y en el expresado valle á Manuel Antonio Rubín de Cclis, vecino de Sopeña; los quales se hallan encargados de recoger los memoriales, y remitirlos á la junta que ha de hacer el nombramiento en el que sea mas digno. Real cédula de S. M. y Sres.</t>
  </si>
  <si>
    <t>Rubín, Nicolás</t>
  </si>
  <si>
    <t>Nicolás Rubín</t>
  </si>
  <si>
    <t>D. Antonio Viüavicencio, D. Josef Delgado, D. Joaquín Miaño, Don Diego Ponce de León, D. Nicolás Rubín, D. Joaquin Sánchez, D. Rafael de Lobo, D. Francisco Leceta, D. Manuel Ocarol, Dv x\ntonio Magadan, D. Norberto de Mella, D. Juan de Bnstamante, D. Joaquin del Pollo Sagasti, D. P</t>
  </si>
  <si>
    <t>Rubio, Juan</t>
  </si>
  <si>
    <t>Juan Rubio</t>
  </si>
  <si>
    <t>es de dicho cuerpo al Visitador, que es ó fuese de las escuelas Reales, cuyo empleo sirve en el día D. Juan Rubio, á un Sacerdote de las Escuelas Pias, elegido por su Provincial, que lo es el P. Pió Peña; y á dos maestros del colegio académico de esta corte, nombrados por dicho cuerpo, cuya e</t>
  </si>
  <si>
    <t>Rudesíndo Domínguez</t>
  </si>
  <si>
    <t>merich: para otro de la parroquia de Luna, en la propia diócesis de Zaragoza, vacante por muerte de D. Rudesíndo Domínguez, á D. Baltasar Jai. El Rey se ha servido conferir Comoañía ^ en el regimiento _ de infante_ ría del Príncipe al Teniente de granaderos, graduado de Capitán, D. Felipe Cerio: Tenen</t>
  </si>
  <si>
    <t>Rudesindo Domínguez</t>
  </si>
  <si>
    <t>D. Cristóbal Iranzor para otro de la parroquia de Luna, de la misma diócesis, por fallecimiento de D. Rudesindo Domínguez, á D. Baltasar Jal: para otro de la catedral de Gerona, vacante por muerte de D. Francisco Püig, á D. Mariano Mascorü; y para otro de la misma catedral de Gerona, vacante por fall</t>
  </si>
  <si>
    <t>Rugidos, Fernando</t>
  </si>
  <si>
    <t>Fernando Rugidos</t>
  </si>
  <si>
    <t>isco Vizcaíno: en el de la Princesa á D. Ramón Corrales: en el de Extremadura á-D. Blas San Millan, D. Fernando Rugidos y á D. Rodrigo Flores Picón: en ei de Málaga á D. Manuel Moreno, D. Pascual Ai varez Campana y D. Rafael España y Chico: en el de Jaén á D. Carlos Marrugat: en el de Ordenes Militar</t>
  </si>
  <si>
    <t>Ruibamba, Bernardo</t>
  </si>
  <si>
    <t>Bernardo Ruibamba</t>
  </si>
  <si>
    <t>o nombrar para la Canongía, que en la Iglesia de Ciudad- Rodrigo ha resultado vacante por muerte de D. Bernardo Ruibamba, á D. Juan Villar, Capellán del quarto Regimiento del Real Cuerpo de Artillería, en consideración á sus servicios, y conforme al Reglamento de 30 de Enero último. El Rey se ha ser</t>
  </si>
  <si>
    <t>Ruiz Álvarez, Juan</t>
  </si>
  <si>
    <t>Juan Ruiz Álvarez</t>
  </si>
  <si>
    <t>Valencia , Ordenes Militares y Voluntarios de la Corona á los Cadetes D. Francisco de Paula Catalá, D. Juan Ruiz Alvarez, Don Ambrosio Jalón y D. Juan Doz. En atención á los méritos y servicios personales contraídos en beneficio público y del estado por D. Francisco de Gomis, Familiar de número del</t>
  </si>
  <si>
    <t>Ruiz Colorado, Francisco</t>
  </si>
  <si>
    <t>Francisco Ruiz Colorado</t>
  </si>
  <si>
    <t>Supl., p. 15</t>
  </si>
  <si>
    <t>n algún-tiempo*-; u r ' it:: oh-:*;; 1-;i&gt; ¿¿tío ¡ '.- i vO -Mar - Pacificó. « . 'i . • " i ' V ... Don Francisco Ruiz Colorado';1 Gap i tan" y'ÍPHóVó1 ife la corbeta Santa Ana, que navegaba de Guayaquil á Acapulcoí, observó lel dia 21 de' Marzo de 8 03•&gt; á^ias^bncb de la^nc^ché., que las agujas de ritaoéír</t>
  </si>
  <si>
    <t>Ruiz de la Pina, Alonso</t>
  </si>
  <si>
    <t>Alonso Ruiz de la Pina</t>
  </si>
  <si>
    <t>stuma deí limo. Sr. Jacobo Benigno Bosuet, Obispo de Meaux, traducida del francés al castellano por Don Alonso Ruiz de la Pina; un tomo en 4.0, á 1 2 rs. en pergamino y 16 en pasta. Se hallará en la librería de Baylo, calle de las Carretas. Pastoral de nuestro Santísimo Padre Benedicto xiv, de gloriosa me</t>
  </si>
  <si>
    <t>Ruiz de la Prada y Mazo, Fernando</t>
  </si>
  <si>
    <t>Fernando Ruiz de la Prada y Mazo</t>
  </si>
  <si>
    <t>educado su maestro; D. Tomas Diego Madra. zo, encontrando dignos de lo,s premios en primer lugar á D. Fernando Ruiz de la Prada y Mazo, en segundo á D. Miguel de la Gandara, y en tercero á D. Juan Alonso Ruiz, á los que inmediatamente se les entregó; y habiendo considerado igualmente acreedor á otro premio por su</t>
  </si>
  <si>
    <t>Ruíz de Villa y Barreda, Manuel</t>
  </si>
  <si>
    <t>Manuel Ruíz de Villa y Barreda</t>
  </si>
  <si>
    <t>99° do el Rey promover á Subrigadier Supernumerario al Cadete Garzón D. Manuel Ruíz de Villa y Barreda: á Cadete de número al Supernumerario D. Francisco Carrero; y á Cadete Supernumerario al Guardia D. Felipe de Lorieri; y en la Compañía Italiana á Cadete Supernumerario al Guardia</t>
  </si>
  <si>
    <t>Ruiz Linares, Francisco</t>
  </si>
  <si>
    <t>Francisco Ruiz Linares</t>
  </si>
  <si>
    <t>Urquisavaso, D. Luis de Vera, D. Josef María Fernandez Boullosa, D. Josef Manuel Díaz de la Madrid, D. Francisco Ruiz Linares , D. Francisco Xavier y Andrade , Don Josef María Noriega, D. Joaquín Artacho y Moreno y D.Francisco Zosaya, veciiios de aquella provincia. El ib del corriente mes dé Abril dio fo</t>
  </si>
  <si>
    <t>Ruiz Martínez, Antonio Jacinto</t>
  </si>
  <si>
    <t>Antonio Jacinto Ruiz Martínez</t>
  </si>
  <si>
    <t>dad de Prior de la catedral de Canaria, vacante por fallecimiento de D. Domingo Alfaro y Franchy, á D. Antonio Jacinto Ruiz Martínez, Racionero de la misma: para la de Arcediano de Alcántara de la catedral de Coria, vacante por promoción de D. Juan Félix Gironda y Blanco á Canónigo de la catedral de León, á D.</t>
  </si>
  <si>
    <t>Ruiz, Ángel</t>
  </si>
  <si>
    <t>Ángel Ruiz</t>
  </si>
  <si>
    <t>stingo iéndose entre ellos, y en los respectivos ramos de su clase D. Fermín Ballesteros y Cardaza, D. Angel Ruiz , D. Josef Cov-ían-, D. Josef Miquez , Ramón Rodríguez y D!. Josef Poladura, el que mas de 10 años de edad, y D. Miguel Miquez y Emidio Aragunde de 12. años: de manera que todos l</t>
  </si>
  <si>
    <t>Ruiz, Antonio</t>
  </si>
  <si>
    <t>Antonio Ruiz</t>
  </si>
  <si>
    <t>de la villa de Galisteo en aquella diócesis: para otra de la de Canaria, vacante por pro^mocion de D. Antonio Ruiz á la Dignidad de Prior de ella, á D. Josef Dom’ngo del Castillo y Betancour: para una Media-Ración de la catedral de Santo Domingo de la Calzada, vacante por promoción de D. Pedro</t>
  </si>
  <si>
    <t>de baxo de aquella Iglesia; y para una Ración de la Catedral de Canaria, vacante por proinocion de D. Antonio Ruiz á la Dignidad de Prior de ella, nombró S. M«, por decreto de io de Junio de este año, á Don Josef Domingo del Castillo y Betancourt; y habiendo fallecido este antes de posesionars</t>
  </si>
  <si>
    <t>Ruiz, Francisco</t>
  </si>
  <si>
    <t>Francisco Ruiz</t>
  </si>
  <si>
    <t>L NAVIO S. NICOLAS. Francisco Ruiz..................... Villa'cxcusa de Haro-.. *4»-25 Josef Aloy, Cabo............... Valladolíd... 283-16 7.* DEL 2.°</t>
  </si>
  <si>
    <t>Ruiz, Juan Alonso</t>
  </si>
  <si>
    <t>Juan Alonso Ruiz</t>
  </si>
  <si>
    <t>r lugar á D. Fernando Ruiz de la Prada y Mazo, en segundo á D. Miguel de la Gandara, y en tercero á D. Juan Alonso Ruiz, á los que inmediatamente se les entregó; y habiendo considerado igualmente acreedor á otro premio por su extraordinaria aplicación y habilidad á D. Angel Martínez, acordáron los</t>
  </si>
  <si>
    <t>Ruiz, Juan Antonio</t>
  </si>
  <si>
    <t>Juan Antonio Ruiz</t>
  </si>
  <si>
    <t>a de la Colegial de Soria, Diócesi de Osma, vacante por fallecimiento de D. Vicente Gómez Falcon, á D. Juan Antonio Ruiz, Racionero de ella: para una Ración de la Catedral de Canaria, vacante por muerte de D. Domingo Gutiérrez de Frias, á D. Domingo García Abreu , Cura del lugar de Tacoronte en la i</t>
  </si>
  <si>
    <t>Ruiz, Vicente</t>
  </si>
  <si>
    <t>Vicente Ruiz</t>
  </si>
  <si>
    <t>y D. Francisco Amores: á Tenientes de fusileros en los de Logroño y Pontevedra á l os Subtenientes D. Vicente Ruiz, D. Tomas Anteio y D. Antonio María Romero; y á Subteniente de bandera en el de Pontevedra á D. Manuel Joaquín Henriquez , Cadete del de Orense. En América, En el regimiento de in</t>
  </si>
  <si>
    <t>Ruj, Joaquín</t>
  </si>
  <si>
    <t>Joaquín Ruj</t>
  </si>
  <si>
    <t>Subteniente de granaderos al de fusileros D.JoserArnau: á Subtenientes de Compañía á los agregados Don Joaquín Ruj as,D. Francisco González y D. Francisco Diaz, y á los de bandera D. Julián Padilla, D. León Torralbo, D. Manuel VUlalba y Don Francisco García;y áSubtenientes de banderaá los agre</t>
  </si>
  <si>
    <t>Rum, Capitán</t>
  </si>
  <si>
    <t>Capitán Rum</t>
  </si>
  <si>
    <t>uella plaza. La guarnición ha quedado reducida á unos pocos hombres. Se dice que el Mayor Davie, el Capitán Rum« ley, y un Capitán de artillería, cogidos en Candiy, viven todavía, y que se les hace trabajar como esclavos en los caminos públicos. El último día del año anterior los habitantes</t>
  </si>
  <si>
    <t>Rush</t>
  </si>
  <si>
    <t>que se estaba disponiendo otra obra mas extensa, que es la presente. Se ha tomado por texto la del Dr. Rush, por ser quien ha escrito en la materia con mas conocimiento, y haber observado mucho esta eDÍermedacb pero al mismo tiempo se ha puesto en notas y extracto todo quanto hay escrit</t>
  </si>
  <si>
    <t>Ruso Lanterope, Teniente General</t>
  </si>
  <si>
    <t>Teniente General Ruso Lanterope</t>
  </si>
  <si>
    <t>tas de Corfú con fecha de 31 de Agosto y i.° de Setiembre, anuncian haber llegado á aquella isla el Teniente General Ruso Lanterope, y qué ha tomado el mando en gefe de todas las tropas Rusas reunidas en la República de las Siete-Idas. Esté General , Mr. Serokin, General de la Marina, y el Conde de Mcncenigo,</t>
  </si>
  <si>
    <t>Ruso Mr, Teniente General</t>
  </si>
  <si>
    <t>Teniente General Ruso Mr</t>
  </si>
  <si>
    <t>un exército Ruso de 80© hombres destinado á una grande expedición. El brick, á cuyo bordo Viene el Teniente General Ruso Mr. dé. Sprengporten, está á la vista de la isla: dícese que trae mucho dinero. DINAMARCA. Copenhague 4 de Setiembre. Todos los extranjeros queestudíen algunos años en la Universidad</t>
  </si>
  <si>
    <t>Ruso, General</t>
  </si>
  <si>
    <t>General Ruso</t>
  </si>
  <si>
    <t>elos dirigiéndose al rrar Eúgro, 01 ndc tomarán á bordo mas tropas destinadas al mismo servicio. Eí General Ruso, que manda en aquella isla, ha recibido orden de ¡untar, por medio de algunas casas fuertes de Venecia, todo el dinero necesario para pagar las tropas; y últimamente ha enviado un</t>
  </si>
  <si>
    <t>Ruy Bamba, Ambrosio</t>
  </si>
  <si>
    <t>Ambrosio Ruy Bamba</t>
  </si>
  <si>
    <t>_____ _________________ 86g Historia de Polibio Megalopoütano, traducida del griego por D. Ambrosio Ruy Bamba: 3 tomos en 4.0, á 54 rs. en rustica. Curso de matemáticas, por D. Tadeo Lope, 3 tomos en 4°: el i.*8 **contiene lo * * * 6 *la aritmética universal, en pasta á 27 rs. El tomo 2.0</t>
  </si>
  <si>
    <t>Sa, Félix María</t>
  </si>
  <si>
    <t>Félix María Sa</t>
  </si>
  <si>
    <t>ndado publicar por dicha Real Dirección* Se abre subscripción á una nueva edición de las Fábulas de D. Félix María Sa «aniego, en 8.» marquilla, de buen papel, y adornada cada fábula con una estampa. En esta obra, emprendida y grabada por los profesores Alarti, Aibuerne, Rodríguez y los Vázquez,</t>
  </si>
  <si>
    <t>Saavedra, Ángel</t>
  </si>
  <si>
    <t>Ángel Saavedra</t>
  </si>
  <si>
    <t>castellana y latina. i.°: D. Manuel María Villavicencio: Diccionario de la lengua castellana. 2.0 : D. Angel Saavedra: Cervantes, Quixote,6 tomos en 12.a de la imprenta Real. Accessit: D. Josef Chacón: Comentarios de César, traducción de Valbuena, 2 tomos en 8.° Accessit: D. Josef Junquera:. Mend</t>
  </si>
  <si>
    <t>Saavedra, Felipe</t>
  </si>
  <si>
    <t>Felipe Saavedra</t>
  </si>
  <si>
    <t>ana, D. Cayetano Picado, Don Francisco Villavicencio, D. Luis de Basave, D. Francisco de la Lastra, D. Felipe Saavedra, D. Josef Melgares, D.. Alonso Ramírez , D. Antonio Osorio, D. Manuel Alyarez, D. Bartolomé Pita Daveyga, D. Luis de los Ríos, D. Francisco Calvo, D. Luis Perez del Camino, D. Gon</t>
  </si>
  <si>
    <t>Saavedra, Vicente María</t>
  </si>
  <si>
    <t>Vicente María Saavedra</t>
  </si>
  <si>
    <t>íaz de Córdoba , D. Salvador Clavijo, D. Josef Julián, D. Francisco Topete, D. Manuel del Castillo, D. Vicente María Saavedra, D. Miguel Montemayor, D. Antonio Ausejo, D. Martin de Mendoza, D. Felipe Ibargiien, D. Francisco Solís, D. Josef Pasalagua, D. Diego de Aguirre, D. Vicente Climent, D. Juan Albor</t>
  </si>
  <si>
    <t>Sabifion, Nicolás</t>
  </si>
  <si>
    <t>Nicolás Sabifion</t>
  </si>
  <si>
    <t>. León Torralbo, D. Manuel VUlalba y Don Francisco García;y áSubtenientes de banderaá los agregados D. Nicolás Sabifion, graduado de Teniente, D. Josef López, D* Silvestre Ramírez y D. Felipe Carvajal, al Sargento primero de granaderos D. Antonio Hernández, y al Cadete £L Tomas Feroz GuerraPor el E</t>
  </si>
  <si>
    <t>Sacharof</t>
  </si>
  <si>
    <t>Robertson en su viage areostático en Hamburgo, el i$ de Julio de 1803, se confirma con lo que dice Mr. Sacharof: el polo norte de la aguja de declinación se ha hallado elevado de 10 grados. La existencia de una corriente superior , que ha dirigido dos veces el globo hácia altamar, ha impedi</t>
  </si>
  <si>
    <t>Sack</t>
  </si>
  <si>
    <t>osorio, y en donde ya se habían reunido todos los Embajadores, Ministros, Generales y alta nobleza. Mr. Sack, Predicador de la corte y Presidente del consistorio, unió á los dos esposos baxo de un dosel. Cambiáronse luego los anillos , y se bendixéron según el rito evangélico , anunciánd</t>
  </si>
  <si>
    <t>Sacristán, Juan Bautista</t>
  </si>
  <si>
    <t>Juan Bautista Sacristán</t>
  </si>
  <si>
    <t>evedra al de fusileros D. Rafael Ayerdi. En América. En atención á los méritos y circunstancias del Dr. Don Juan Bautista Sacristán, Canónigo Doctoral de la catedral de Valladolid, ha venido S. M. en nombrarle para el Arzobispado de S a. Fe de Bogotá, vacante por fallecimiento de D. Francisco Fernando Portillo</t>
  </si>
  <si>
    <t>Beneficio simple de San jEsréban de Sayar, en el Arzobispado de Santiago, vacante por promoción de D. Juan Bautista Sacristán á la Mitra de Santa Fe de Bogotá, á D. Josef de Mollincdo: para el Beneficio Préstamo de Valderas, en el Obispado de León, vacante por haber sido nombrado D. Bernardo Delgado Quad</t>
  </si>
  <si>
    <t>Sáenz de Manjarres, Juan Manuel</t>
  </si>
  <si>
    <t>Juan Manuel Sáenz de Manjarres</t>
  </si>
  <si>
    <t>de Pamplona, vacante por fallecimiento de D. Manuel Azcona, y haber muerto sin posesionarse dé ella D. Juan Manuel Saenz de Manjarres, á D. Felipe Perez, individuo de la Real Capilla. S. M. se ha servido nombrar para un Beneficio de la Parroquia de Alcober, en el Arzobispado de Tarragona, vacante por promoción d</t>
  </si>
  <si>
    <t>Sáenz de Tejada, Manuel</t>
  </si>
  <si>
    <t>Manuel Sáenz de Tejada</t>
  </si>
  <si>
    <t>el Regimiento de caballería de la Reyna, segundo de línea, se ha servido el Rey conferir Compañía á D. Manuel Saenz de Tejada, Cadete supernumerario de la Compañía Española del Real Cuerpo de Guardias de Corps. En América. El Rey se ha servido nombrar para la Asesoría y Auditoría de Guerra del Gobierno C</t>
  </si>
  <si>
    <t>Sáenz Durango, Andrés</t>
  </si>
  <si>
    <t>Andrés Sáenz Durango</t>
  </si>
  <si>
    <t>tra sí un censo perpetuo de 250 rs. anuales: quien quisiere tratar de ajuste, acuda en esta corte á D. Andrés Saenz Durango, calle de Francos, núm. 10, pasado el mirador; en Valladolid á D. Tomas Rodriguez.de Cela, Regidor perpetuo de dicha ciudad, y en Cáceres á E&gt;. Pedro Rodríguez de Cela, Alcalde de</t>
  </si>
  <si>
    <t>Sáenz Pérez, Luis</t>
  </si>
  <si>
    <t>Luis Sáenz Pérez</t>
  </si>
  <si>
    <t>to de D. Tomas del Valle, y por no haber tenido efecto el nombramiento hecho en D. Manuel Burgos, á D. Luis Saenz Perez , con carga de residencia , ayudar al Párroco y otras. El Rey se ha servido conceder Ayudantía en el regimiento de infantería de Africa al Capitán D. Andrés Justiz, Teniente del d</t>
  </si>
  <si>
    <t>Sáez de Parayúelo, Tomás</t>
  </si>
  <si>
    <t>Tomás Sáez de Parayúelo</t>
  </si>
  <si>
    <t>en la casa de los Consejos, á la hora de las 10 de su mañana. ■ ' En virtud de providencia del Sr. D. Tomas Sáez de Parayúelo, como Subdelegado de rentas Reales de esta villa y su provincia, se manda sacar á pública subasta, por término de 30 dias, una casa parador en la villa de Valdemoro, contigua al c</t>
  </si>
  <si>
    <t>Saez de Parayuelo, Tomás</t>
  </si>
  <si>
    <t>Tomás Saez de Parayuelo</t>
  </si>
  <si>
    <t>á, señaladp el 23 .del corriente, á las n de su mañana, -en la.posada del Sr. Subdelegado de Rentas D. Tomas Saez de Parayuelo. Qaiepfquisiete hacer anejora&gt; acudirá por la escribanía de D. Fausto Manuel de Ezqueya.. u -y ' . .T .' El Sr. Intendente de esta provincia,por su decreto de 2 del corriente, ha</t>
  </si>
  <si>
    <t>Saez, Francisco María</t>
  </si>
  <si>
    <t>Francisco María Saez</t>
  </si>
  <si>
    <t>s de Valencia y Málaga á los Sargentos primeros D. Carlos Pons y D. Antonio Medina, y á ios Cadetes Don Francisco María Saez, D, Antonio Valero y D. Josef María Torraiba. S. M. se ha servido conceder Ayudantías en los Regimientos de infantería de Sevilla y Ordenes Militares á los Tenientes, graduados de</t>
  </si>
  <si>
    <t>Sagarria, Felipe</t>
  </si>
  <si>
    <t>Felipe Sagarria</t>
  </si>
  <si>
    <t>o: dos minuetes con sus respectivos alegros, el primero con el título de Bonaparte, todo sacado por D. Felipe Sagarria. EN LA IMPRENTA REAL.</t>
  </si>
  <si>
    <t>Saint Cyr, General</t>
  </si>
  <si>
    <t>General Saint Cyr</t>
  </si>
  <si>
    <t>eral en gefe Jourdan; ha recibido orden de marchar al reyno de Nápoles, á reforzar el exército d.el General Saint Cyr. Se dirigirá esta división por Ancona. GRAN BRETAÑA. Londres zode Agosto. En las inmediaciones de Nueva-York han muerto algunas personas de fiebre amarilla, lo que ha causado gran</t>
  </si>
  <si>
    <t>Sainz de Arce, Ramón Juan</t>
  </si>
  <si>
    <t>Ramón Juan Sainz de Arce</t>
  </si>
  <si>
    <t>ó vacante por ascenso de D. Elias Xavier de Lanza á una Canongía de la metropolitana de Zaragoza, á D. Ramón Juan Sainz de Arce: para el Beneficio sim</t>
  </si>
  <si>
    <t>Sainz de Baranda, Pedro</t>
  </si>
  <si>
    <t>Pedro Sainz de Baranda</t>
  </si>
  <si>
    <t>infructuosamente, por lo que se les previene, ó á sus herederos, acudan por sí, ó por encargado, á D. Pedro Sainz de Baranda, del comercio de Madrid, á tratar de este punto. En la villa de S. Martin de la Vega, distante 4 leguas de esta corte, se halla vacante la plaza de Médico, y su situado es de 69 r</t>
  </si>
  <si>
    <t>Sainz de la Peña, Ignacio</t>
  </si>
  <si>
    <t>Ignacio Sainz de la Peña</t>
  </si>
  <si>
    <t>de Sar. tillaría , ó ce5is de Santander, por fallecimiento de D. Francisco Tagle Íi*.:yLarnaute, á D. Ignacio Sainz de la Peña, Cura Párroco del í■sgar de Vargas, en la misma diócesis: para el Préstamo del lugar de Cianame de bayago, diócesis de Zamora, vacante por promoción vic D. Nicolás Bayony Girón á</t>
  </si>
  <si>
    <t>Salarangue, Cayetano</t>
  </si>
  <si>
    <t>Cayetano Salarangue</t>
  </si>
  <si>
    <t>ria al Subteniente de granaderos D. Santiago Lobera; y á Subtenientes de bandera en el de Córdoba á D. Cayetano Salarangue; y en el de Zaragoza á D. Benito Ric y D. Gerónimo Delgado , Cadetes de los mismos Cuerpos. S. M. se ha servido nombrar Capitán segundo en el Regimiento de infantería Suizo de Cou</t>
  </si>
  <si>
    <t>Salas, Joaquín</t>
  </si>
  <si>
    <t>Joaquín Salas</t>
  </si>
  <si>
    <t>141-25 Joaquin Salas........................ Gurrea........................... . 141..25 Jacinto Navazquez............... 141-25 Manuel Zaragozano.............. Zar</t>
  </si>
  <si>
    <t>Salas, Pablo</t>
  </si>
  <si>
    <t>Pablo Salas</t>
  </si>
  <si>
    <t>Compañía de Artillería íixa de Mallorca'se ha dignado S.M. nombrar Capitán segundo Ayudante mayor á D. Pablo Salas, Teniente déla propia Compañía: para el empleo que este dexa á D. Francisco Escarré, Subteniente de la misma; y para Subteniente? á los Sargentos IX.Franc isco Romagosa, del prime</t>
  </si>
  <si>
    <t>Salazar y Poriier, Juan</t>
  </si>
  <si>
    <t>Juan Salazar y Poriier</t>
  </si>
  <si>
    <t>ros: para el Beneficio de la parroquia de Santiago de Folgueras, diócesis de Oviedo , por muerte de D. Juan Salazar y Poriier, á D. Manuel de Riega: para el de la parroquia de S. Nicolás dé la ciudad de Murcia, por promoción de D. Juan Bermudez al Priorato de las Ermitas, Dignidad de la metropolitana de</t>
  </si>
  <si>
    <t>Salazar, Diego</t>
  </si>
  <si>
    <t>Diego Salazar</t>
  </si>
  <si>
    <t>enles de granaderos á los de fusileros D. Josef Declonet, D. Luis Fe^ne j, graduado de Teniente , y D. Diego Salazar ; á Subtenientes de (j^in pañía los de bandera E&gt;. Juan Galguera, D. Bernardo Prieto, D. Cirilo Lessasier, D. Juan Treviño y D. Luis Dreux , el Sargento primeroJJ). Manuel Rubio y</t>
  </si>
  <si>
    <t>Salcedo, Cayetano</t>
  </si>
  <si>
    <t>Cayetano Salcedo</t>
  </si>
  <si>
    <t>ha conferido S. M. Ayudantía en el regimiento de caballería de España, ccravo de línea, al Teniente D. Cayetano Salcedo; y Tenencias en los del Rey y Almansa, primero y tercero de cazadores, al Alférez D. Joaquin Santandreu, y al Capitán D. Antonio Baeza, Teniente agregado al de Olivencia, tercero</t>
  </si>
  <si>
    <t>Salgado y Araujo, Francisco</t>
  </si>
  <si>
    <t>Francisco Salgado y Araujo</t>
  </si>
  <si>
    <t>ra otra de la catedral de Orense , por promoción de D. Ramón Josef Novoa á Canpngía de la misma , á D. Francisco Salgado y Araujo, Cura de la parroquia de S. Lorenzo de Cañón, en aquella diócesis; y para el Beneficio simple de Sta. María de la Barca, arciprestazgo de Tineo, y el de Sta. María de Restiello, a</t>
  </si>
  <si>
    <t>Salgado, Juan</t>
  </si>
  <si>
    <t>Juan Salgado</t>
  </si>
  <si>
    <t>141-25 Juan Salgado......................... Redondel»...................... Francisco Josa...»............. . Alcañiz........................</t>
  </si>
  <si>
    <t>Salgado, Luis</t>
  </si>
  <si>
    <t>Luis Salgado</t>
  </si>
  <si>
    <t>ría de la plaza de Ceuta al Teniente D. Esteban Cortiñas, y á Teniente al Subteniente de las mismas D. Luis Salgado. Habiendo igualmente nombrado el Rey Teniente de la Compañía de Artilleros inválidos de Pamplona aí Subteniente de la de Almería D. Francisco Subero; y Guarda-Almacén extraordinar</t>
  </si>
  <si>
    <t>Salgado, Miguel</t>
  </si>
  <si>
    <t>Miguel Salgado</t>
  </si>
  <si>
    <t>da uno á D. Francisco Godoy, D. Francisco Bercial y D. Juan Baeza; y los 3 segundos de á 35 pesos á D. Miguel Salgado , D. Francisco Martin</t>
  </si>
  <si>
    <t>Salguero, Lorenzo</t>
  </si>
  <si>
    <t>Lorenzo Salguero</t>
  </si>
  <si>
    <t>es de Pavía al Teniente D. Lino Urbina; y á Alíérez del de húsares de Lusitania al Sargento primero D. Lorenzo Salguero. En atención á los distinguidos servicios de D. Manuel García de la Prada , Comisario Ordenador honorario de los Reales exércitos , se ha dignado S. M. concederle los honores de I</t>
  </si>
  <si>
    <t>Salido, Diego</t>
  </si>
  <si>
    <t>Diego Salido</t>
  </si>
  <si>
    <t>e Coronel, D. Josef Cienfuegos: á Sargentos mayores á Los Capitanes primeros D. Cayetano Saqueti, y D. Diego Salido; y á Capitanes primeros á los segundos D. Gil Saenz deTeiada,D. Josef Hidalgo, y D. Francisco de Vargas. También ha conferido S. M. Ayudantía en el regimiento de caballería de Esp</t>
  </si>
  <si>
    <t>Salíicettí</t>
  </si>
  <si>
    <t>10 2 8 Mr. Salíicettí volverá aquí muy pronto en calidad de Ministro plenipotenciario de Francia. EL Senado ha decidido que nuestro Enviado en Francia, el ciud. Bonnelli, sea uno de los Diputados encar</t>
  </si>
  <si>
    <t>Salinas, Agustín</t>
  </si>
  <si>
    <t>Agustín Salinas</t>
  </si>
  <si>
    <t>ervido nombrar para el Deanato de la Iglesia Metropolitana de Charcas, vacante por fallecimiento de D. Agustín Salinas, al Chantre D. Tomas Godoy y Vilches: para la Chantría ai Tesorero D. Juan Manuel Berdeja; y para la Tesorería á D. Matias de Terrazas, Canónigo Magistral: para la Canongía Penite</t>
  </si>
  <si>
    <t>Salmatoris y Craniayel</t>
  </si>
  <si>
    <t>leurieu ha sido nombrado Intendente general de la casa imperial ; Mr.. Reinusat, primer Chambelam.; Mr. Salmatoris y Craniayel, Introductores de Embaxador.es y Maestros de ceremonias;; Mr. Corvisart, primer Medico ; el Consejero de Estado Portalis, MinistJFp. de los .cultos.; el 'Senador Eour: «ché , Mini</t>
  </si>
  <si>
    <t>Salomón Mayoral, Juan</t>
  </si>
  <si>
    <t>Juan Salomón Mayoral</t>
  </si>
  <si>
    <t>lla diócesis: para una Capellanía de coro de la iglesia primada de Toledo, vacante por promoción de D. Juan Salomón Mayoral á una Canongía de la colegial de S. Hipólito de Córdoba, á D. Rafael Antonio Arias Rubalcaba: para el Préstamo del Castillejo de Azaba, en el obispado de Ciudad-Rodrigo, vacante p</t>
  </si>
  <si>
    <t>Salucci, Vicente</t>
  </si>
  <si>
    <t>Vicente Salucci</t>
  </si>
  <si>
    <t>r postura á dicha colección, ó á qualquiera de sus partes, acudan á la casa de comercio dejos Sres. D. Vicente Salucci y compañía, de Madrid, donde con las necesarias instrucciones se les franqueará una relación de los autores y asuntos que la componen: el mérito de ella es harto conocido; basta con</t>
  </si>
  <si>
    <t>Salustiano Gerotla y Aíbiztsa</t>
  </si>
  <si>
    <t>i6a pez, D.• Manuel Crespo Rascón, D. Salustiano Gerotla y Aíbiztsa ; habiendo concedido S. Ai. el mismo ascenso á I). Luis María. Sarasti, Cadete del regimiento de infantería de Mallorca , que ha merecido también la correspondiente aprobación en</t>
  </si>
  <si>
    <t>Salva</t>
  </si>
  <si>
    <t>benignidad del mal , erupciones irregulares observadas después de la vacuna. Sigue la respuesta del Doctor Salva &amp;c. .Número xlvi del Memorial literario, ó biblioteca periódica de ciencias y artes* Contiene el tratado de la sátira : apotegmas de los lacedemonios: análisis de la nosografía fi</t>
  </si>
  <si>
    <t>Salva, Francisco</t>
  </si>
  <si>
    <t>Francisco Salva</t>
  </si>
  <si>
    <t>té papel contiene una carta del Dr. D. Josef Antonio Xirau , Médico de la villa dé Perelada , alDr. D. Francisco Salva , Médico de Barcelona , en Ja qual le participa Id ocurrido con ios vacunados de aquella , en orden á la benignidad del mal , erupciones irregulares observadas después de la vacun</t>
  </si>
  <si>
    <t>Salvato, Juan</t>
  </si>
  <si>
    <t>Juan Salvato</t>
  </si>
  <si>
    <t>tenientes D. Ramón de Vargas, D. Juan Salvato, D. Pedro Antonio Fernandez, D. Ramón y D. Francisco de Velasco: Subtenencias de bandera al Sargento primero de granaderos D. Cayetano Pastera, y al Cadete D. Juan ¿«erafin Mayone</t>
  </si>
  <si>
    <t>Salvatore Verneda</t>
  </si>
  <si>
    <t>cilique methodo ad perfectam sanctae linguae , sacrique veteris textus intelligentiam accommodata á D. Salvatore Verneda: un tomo en 4°, á 24 rs. en pasta. Parte práctica de botánica del caballero Carlos Linneo: 8 tomos en 8.° marqui11a, y otro del resúmen de la obra, á 22 rs. en rústica, y 30 en pa</t>
  </si>
  <si>
    <t>Samaniego, Félix María</t>
  </si>
  <si>
    <t>Félix María Samaniego</t>
  </si>
  <si>
    <t>arco, carreta de S.: Gerónimo, y de ia viuda de Barco López. Quaderno y libro'2.? de Ids fábulas de D. Félix María Samaniego, que consta* de 20 fábulas, y &lt;Str¿s tantas estampas; los subscriptores acudirán á recogerle, anticipando el importe del g.°, que Se dará á la mayor brevedad. Sigue abierta la sub</t>
  </si>
  <si>
    <t>Samaníego, Félix María</t>
  </si>
  <si>
    <t>Félix María Samaníego</t>
  </si>
  <si>
    <t>rcía, tragedia, por D. Lorenzo Villaroel. Quaderno 2° y 3.0 de las Fábulas en verso castellano, por D. Félix María Samaníego, adornadas con las 20 estampas que corresponden ai libro 2.° Se vende a 12 rs. en las librerías de Tieso, calle de las Carretas, y de Barco, carrera de San Ge rónimo. Filosofía mé</t>
  </si>
  <si>
    <t>IX32 Quaderno 4.0 de las Fábulas en vefso castellano, pot D. Félix María Samaniego, adornadas con las 25 estampas que le corresponden. Se vende á 14 rs. en las librerías de Tieso, calle de las Carretas, y de Barco, carrera de San Gerónimo; y las estampas sueltas</t>
  </si>
  <si>
    <t>Samuel Foart Siininons</t>
  </si>
  <si>
    <t>No se sabe donde paran los demás corsarios que venían con él. El Dr. Samuel Foart Siininons ha sido nombrado Médico extraordinario de S. M. HOLANDA. Haya 2 de Junio. El- ciud. Van-Sousbeek ha sido nombrado Presidente del Cuerpo legislativo’ para la sesión extraordinaria,</t>
  </si>
  <si>
    <t>San Millan, Alexandro</t>
  </si>
  <si>
    <t>Alexandro San Millan</t>
  </si>
  <si>
    <t>Teniente de granaderos , graduado de Capitán, D. Miguel Rosales; y Subtenencia de bandera al Cadete D. Alexandro San Millan; y en el de las Ordenes Militares Compañía al Ayudante, graduado de Capitán, D. Angel Bayon, y Tenencia al Subteniente de granaderos D. Casimiro Bastarrachea. El Rey se ha servido</t>
  </si>
  <si>
    <t>San Millan, Blas</t>
  </si>
  <si>
    <t>Blas San Millan</t>
  </si>
  <si>
    <t>América á Don Francisco Vizcaíno: en el de la Princesa á D. Ramón Corrales: en el de Extremadura á-D. Blas San Millan, D. Fernando Rugidos y á D. Rodrigo Flores Picón: en ei de Málaga á D. Manuel Moreno, D. Pascual Ai varez Campana y D. Rafael España y Chico: en el de Jaén á D. Carlos Marrugat: e</t>
  </si>
  <si>
    <t>San, Pablo</t>
  </si>
  <si>
    <t>Pablo San</t>
  </si>
  <si>
    <t>Capitán primero de infantería D. Josef Gayangos: á Capitanes primeros de infantería á los segundos D. Pablo San-, diez y D. Francisco Quesada ;y á Capitanes segundos de infantería á los Tenientes D. Juan Mansilla, D. Benito Avalle y D. Francisco Macia. Como también á Capitán segundo de las c</t>
  </si>
  <si>
    <t>San, Pedro</t>
  </si>
  <si>
    <t>Pedro San</t>
  </si>
  <si>
    <t>ente en el de María Luisa á D. Josef Golfín; y el de Alférez en el mismo cuerpo al Sargento primero D. Pedro San) urjo. En la madrugada del 20 de este mes falleció en Castellón de la Plana, reyno de Valencia, Mr. Mechain. Habia venido á España con el encargo de continuarlas operaciones suspe</t>
  </si>
  <si>
    <t>Sánchez Capay, Juan</t>
  </si>
  <si>
    <t>Juan Sánchez Capay</t>
  </si>
  <si>
    <t>Sargento mayor del regimiento de infantería provincial de Toluca , en el rey no de Nueva España, á D. Juan Sánchez Capay, Capitán primero del Real cuerpo de Artillería. Los botánicos de la Real expedición del Perú han recibido por el Ministerio de Gracia y Justicia de Indias 82 descripciones de prec</t>
  </si>
  <si>
    <t>Sánchez Cidras, Bernardo</t>
  </si>
  <si>
    <t>Bernardo Sánchez Cidras</t>
  </si>
  <si>
    <t>5® rs. á favor de la Real capilla: para una Ra.cion de la catedral de Tuy, vacante por promoción de D. Bernardo Sánchez Cidras á Canónigo de ella, á D. Francisco Pineyro de Lara, Cura -de la villa de Lumbrales, en el obispado de Ciudad-Rodrigo; y para una Media-Ración de la de Cuenca, vacante por ascenso</t>
  </si>
  <si>
    <t>Sánchez de Cáceres, Gregorio</t>
  </si>
  <si>
    <t>Gregorio Sánchez de Cáceres</t>
  </si>
  <si>
    <t>egio Seminario de aquella ciudad; y para una Ración de la Catedral del Cuzco, vacante por muerte de D. Gregorio Sánchez de Cáceres, á D. Pedro Agustín Cabrera, Cura en aquel Obispado. S. M. se ha servido nombrar para el empleo de Ayudante primero del batallón de Milicias disciplinadas de Pardos de Valencia, e</t>
  </si>
  <si>
    <t>Sánchez de Cutánea, Joaquín</t>
  </si>
  <si>
    <t>Joaquín Sánchez de Cutánea</t>
  </si>
  <si>
    <t>a misma; siendo asistentes los limos. Sres. D. Francisco de la Dueña y Cisneros, Obispo de Urgel, y D. Joaquín Sánchez de Cutánea, Obispo de Huesca, y padrino el venerable Cabildo de la propia catedral, representado por sus comisionados D. Juan Bautista Josa y D. Narciso Batiz. S. M., por su cédula de 13 de</t>
  </si>
  <si>
    <t>Sánchez del Campo, Manuel</t>
  </si>
  <si>
    <t>Manuel Sánchez del Campo</t>
  </si>
  <si>
    <t>que se halhabin ausentes sin saberse de su paradero, y haber nombrado por administrador y curador á D. Manuel Sánchez del Campo, vecino de Ronda, ínterin la ausencia de estos, se presenten á dicho curador por sí ó poder, con la debida justificación, pues es caudal de mas de'29 ducados anuales. Se halla vac</t>
  </si>
  <si>
    <t>Sánchez Diosdado, Luis</t>
  </si>
  <si>
    <t>Luis Sánchez Diosdado</t>
  </si>
  <si>
    <t>edro Martinez; y á Subtenientes de bandera de los de Badajoz, Valladolid, Sigüenza, Lorca y Ronda á D. Luis Sánchez Diosdado , D. Vicente Moneada, D. Alfonso Gallego y Perez, D. Josef Morales y Galera y D. Josef Luis Noguera y.Mendez* „ Para el Gobierno del fuerte de Torremolinos ha nombrado el Rey al C</t>
  </si>
  <si>
    <t>Sánchez Eoado, Vicente</t>
  </si>
  <si>
    <t>Vicente Sánchez Eoado</t>
  </si>
  <si>
    <t>zados, recopilada de la que Federico n dió á sus oficiales de caballería: traducida del francés por D. Vicente Sánchez Eoado, Capitán i.° del Real cuerpo de Ingenieros del exército. Se hallará en el despacho de la imprenta Real. Tratados de paces y alianzas entre varios Reyes de Aragón y diferentes Prín</t>
  </si>
  <si>
    <t>Sánchez Iloyo, Agustín</t>
  </si>
  <si>
    <t>Agustín Sánchez Iloyo</t>
  </si>
  <si>
    <t>r para una Ración de la Parroquial de la villa de Berbegal, Diócesi de Lérida, por fallecimiento de D. Agustín Sánchez Iloyo, á D. Rafael Baeza: para otra de la misma Iglesia, vacante por muerte de D. Manuel Roclied , á D.’Antonio Torregrosa: para un Beneficio vacante en la Parroquial de S. Andrés de la</t>
  </si>
  <si>
    <t>Sánchez LarioS de Godoy, Pedro</t>
  </si>
  <si>
    <t>Pedro Sánchez LarioS de Godoy</t>
  </si>
  <si>
    <t>stamo del lugar de Pozanco, en la diócesis de Avila, vacante por muerte de D. Eulogio Argiielles, á D. Pedro Sánchez LarioS de Godoy; y para el de Sotalbo, en la propia diócesis, vacante por fallecimiento de D.. Josef Ramii'^z, á D. Rafael Fundidor y Flores. El Rey se ha servido nombrar segundo Capellán del Rea</t>
  </si>
  <si>
    <t>Sánchez Llórente, Pedro</t>
  </si>
  <si>
    <t>Pedro Sánchez Llórente</t>
  </si>
  <si>
    <t>obispado de Avila, vacante por fallecimiento de D. Josef Ramírez, y no haber tomado posesión de él D. Pedro Sánchez Llórente, á quien S. M. nombró por decreto de 27 de Marzo del año último , á D. Pedro Juárez , Capellán de ánimas de la villa del Sotillo , en la propia diócesis* y para el Beneficio simpl</t>
  </si>
  <si>
    <t>Sánchez Salvador, Ramón</t>
  </si>
  <si>
    <t>Ramón Sánchez Salvador</t>
  </si>
  <si>
    <t>vido conferir Compañía en el regimiento de infantería de Mallorca al Teniente, graduado de Capitán, D. Ramón Sánchez Salvador. El Rey se ha servido promover á Teniente en el regimiento de infantería de Zaragoza al Subteniente D. Cristóbal Esteve: á Subteniente de bandera en el batallón de Voluntarios de</t>
  </si>
  <si>
    <t>Sánchez Soriaii, Juan</t>
  </si>
  <si>
    <t>Juan Sánchez Soriaii</t>
  </si>
  <si>
    <t>Cuencame en aquella diócesis; y para una Media-Rabión de ia catedral de la Puebla de los Angeles á D. Juan Sánchez Soriaii^», Cura de la parroquia del Sto. Angel en dicha ciudad. Asimismo ha promovido S. M. en el regimiento de infantería de la Luisiana á Capitán al Ayudant^ D. Josef Cruzat^y á esta re</t>
  </si>
  <si>
    <t>Sánchez Villamarin, Vicente</t>
  </si>
  <si>
    <t>Vicente Sánchez Villamarin</t>
  </si>
  <si>
    <t>granaderos D. Antonio Panadero; y Subtenencia de bandera en el de Hibernia ai Cadete del de Toledo D. Vicente Sánchez Villamarin. En los de Húsares se ha servido igualmente S. M. conferir compañía en el de Voluntarios de España al Ayudante, con grado de Capitán, D. Antonio Roxas : empleo de Teniente en el d</t>
  </si>
  <si>
    <t>Sánchez, Antonio</t>
  </si>
  <si>
    <t>Antonio Sánchez</t>
  </si>
  <si>
    <t>l lugar de Macotera , en el obispado de Salamanca, vacante por muerte de D. Remigio Martin Pañero,á D. Antonio Sánchez; y para otro de la parroquia de Sta. Leocadia, de la villa de Talavera de la Reyna, vacante por fallecimiento de D. Josef Maseda, á D. Juan Antonio Ramírez Tercero de Rozas. El be</t>
  </si>
  <si>
    <t>tabria á D. Francisco Aparicio*, en el de IpP.iincesa á D. Vicente Baixauli: en el de Extremadura á D. Antonio Sánchez: en el de Borbon á D. Matias Ximenez; y en el batallón de infantería ligera de Voluntarios de Valencia al Sargento primero de granaderos ^el ^regimiento de la Princesa D. Josef Am</t>
  </si>
  <si>
    <t>............ 141-25 Antonio Sánchez................ Toledo................................ 14 Santos Pertierrra-............... S. Pedro Andrés.............. 141-25 Manuel Gómez...................</t>
  </si>
  <si>
    <t>Sánchez, Diego</t>
  </si>
  <si>
    <t>Diego Sánchez</t>
  </si>
  <si>
    <t>........... 141..25 Diego Sánchez...................... Moe *as............................ 141 •25 Vicente Rodríguez............. E-ptnosa......................... 141..25 Francisco Redondo............. Pinto...</t>
  </si>
  <si>
    <t>Sánchez, Diego Antonio</t>
  </si>
  <si>
    <t>Diego Antonio Sánchez</t>
  </si>
  <si>
    <t>tallón de infantería ftxo de Veracruz se ha servido el Rey promover á Capitanes al Ayudante primero D. Diego Antonio Sánchez, y al Teniente de cazadores D. Manuel Perez; á Teniente de cazadores al de fusileros D. Diego Basilio de la Chica ; á Teniente de fusileros ai Subteniente D. Erancisco Guelvenzu;</t>
  </si>
  <si>
    <t>Sánchez, Francisco</t>
  </si>
  <si>
    <t>Francisco Sánchez</t>
  </si>
  <si>
    <t>141-21: Francisco Sánchez............... Mascaraque.................. 141.25 Manuel Millan................... .. Viilavieiosa......... ......... I4J 1 .. J £ Francisco Ramos, C</t>
  </si>
  <si>
    <t>Sánchez, Joaquín</t>
  </si>
  <si>
    <t>Joaquín Sánchez</t>
  </si>
  <si>
    <t>ntonio Viüavicencio, D. Josef Delgado, D. Joaquín Miaño, Don Diego Ponce de León, D. Nicolás Rubín, D. Joaquin Sánchez, D. Rafael de Lobo, D. Francisco Leceta, D. Manuel Ocarol, Dv x\ntonio Magadan, D. Norberto de Mella, D. Juan de Bnstamante, D. Joaquin del Pollo Sagasti, D. Pedro Negréte, D. Man</t>
  </si>
  <si>
    <t>Sanchezj, Diego Antonio</t>
  </si>
  <si>
    <t>Diego Antonio Sanchezj</t>
  </si>
  <si>
    <t>promover á Capítan al Ayudante primero D. Josef Sierra; á Ayudante primero al Teniente de cazadores D. Diego Antonio Sanchezj á Teniente de cazadores al de fusileros D. Manuel Perez; á Tenientes á los Subtenientes D. Juan de Arguelles y D. Francisco de las Piedras; á Subtenientes á los segundos Ayudantes</t>
  </si>
  <si>
    <t>Sancho Granado, Gregorio</t>
  </si>
  <si>
    <t>Gregorio Sancho Granado</t>
  </si>
  <si>
    <t>para la del Campo de Criptana á D. Gregorio Laredo Gil de Bernabé: para la de Villaescusa de Haro á D. Gregorio Sancho Granado, todas en el territorio de la orden de Santiago: para la del Gobierno de la villa de Marios, territorio de la orden de Calatrava, á D. Juan Alvarez de Sotomayor; y para la de Cecl</t>
  </si>
  <si>
    <t>Sancho Mareca, Ramón</t>
  </si>
  <si>
    <t>Ramón Sancho Mareca</t>
  </si>
  <si>
    <t>sta de Toledo ha resultado tacante por renuncia de D. Josef Eustaquio Moreno, á D. Ramón Sancho Mareca, Capellán del regimiento de infantería de Cantabria, en consideración á sus servicios, y conforme al reglamento de 30 de Enero último: para otra de la Colegial de $. Juan de las A</t>
  </si>
  <si>
    <t>Sañez Reguart, Antonio</t>
  </si>
  <si>
    <t>Antonio Sañez Reguart</t>
  </si>
  <si>
    <t>Diccionario histórico de las artes de la pesca nacional, por el Comisario Real de Guerra de Marina D. Antonio Sañez Reguart: cinco tomos con láminas, en pasta papel marquilla...................................... ................... . 3?o. 15a. Idem papel florete.................... ................. .</t>
  </si>
  <si>
    <t>Sangüesa, Tadeo</t>
  </si>
  <si>
    <t>Tadeo Sangüesa</t>
  </si>
  <si>
    <t>otra de la colegial de Borjadiócesis de Tarazona, vacante por fallecimiento de D. Dámaso Navarro, á D. Tadeo Sangüesa: para una Ración de la parroquial de la villa de Estadilla, diócesis de Lérida, vacante por promoción de Don Manuel Abad á la Ganongía de la catedral de Barbastro , á D. Manuel Ja</t>
  </si>
  <si>
    <t>Sanponts, Francisco</t>
  </si>
  <si>
    <t>Francisco Sanponts</t>
  </si>
  <si>
    <t>substancial y útil. Las memorias escritas en español ó en latín se dirigirán francas de porte alDr. D. Francisco Sanponts, socio Secretario primero de la Real Academia de Medicina práctica de Barcelona. Madrid jj de Abril, S, M. se ha servido nombrar para una Ración de la catedral de Cuenca , vacante</t>
  </si>
  <si>
    <t>Sansón, General</t>
  </si>
  <si>
    <t>General Sansón</t>
  </si>
  <si>
    <t>lió para medir ios grados de longitud entre Strasburgo y Brest. Esta grande empresa, formada por el General Sansón, director del depósito de la guerra, dará nuevas luces acerca de la figura y de las irregularidades de la tierra. K S P A Ñ A. v Madrid 8 de Mayo* • En el regimiento de Reales Gua</t>
  </si>
  <si>
    <t>Santa Cruz, Joaquín</t>
  </si>
  <si>
    <t>Joaquín Santa Cruz</t>
  </si>
  <si>
    <t>se. ha servido el Re y.promover á Teniente al Alférez D. Antonio Truxillo; á Alférez al Portaguión D. Joaquin Santa Cruz, y á Portaguión al Cadete D. Mateo Quiíti. ^ En el regimiento de Milicias disciplinadas de infantería de laEHavana ha promovido S. M. á Teniente de granaderos al Teniente veterano</t>
  </si>
  <si>
    <t>Santa María, Mateo</t>
  </si>
  <si>
    <t>Mateo Santa María</t>
  </si>
  <si>
    <t>supiere del paradero de ellos , lo avisará en Cádiz al mismo D. Joaquín Riquelme, y en esta corte á D. Mateo Santa María, que vive en la calle de Preciados, inmediato al postigo de S. Martin, núm. 12, junto i la lotería. En la noche del 26 al 27 de Junio, viniendo deI Real sitio de Aranjuez, se perd</t>
  </si>
  <si>
    <t>Santa María, Simón</t>
  </si>
  <si>
    <t>Simón Santa María</t>
  </si>
  <si>
    <t>io de Vicente: para su Ración á D. Pedro Ignacio de Iturribarría; y j^jta la Media-Ración de este á D. Simón Santa María, Cura del partido^ ¿S. Antonio de Cuencame en aquella diócesis; y para una Media-Rabión de ia catedral de la Puebla de los Angeles á D. Juan Sánchez Soriaii^», Cura de la parroqui</t>
  </si>
  <si>
    <t>Santacilia, Pedro</t>
  </si>
  <si>
    <t>Pedro Santacilia</t>
  </si>
  <si>
    <t>z. En el misino cuerpo ha promovido á Capitanes á los Tenientes D. Antonio Branly, de granaderos, y D. Pedro Santacilia, Ayudante: á la resulta de este al Teniente de granaderos D. Juan Montes: á Tenientes de granaderos á los de fusileros D. Francisco Morales y D. Ignacio Salazar: ¿Tenientes á los</t>
  </si>
  <si>
    <t>Santandreu, Joaquín</t>
  </si>
  <si>
    <t>Joaquín Santandreu</t>
  </si>
  <si>
    <t>Cayetano Salcedo; y Tenencias en los del Rey y Almansa, primero y tercero de cazadores, al Alférez D. Joaquin Santandreu, y al Capitán D. Antonio Baeza, Teniente agregado al de Olivencia, tercero de húsares. Un América. Para una Canóngía de la metropolitana de Charcas, vacante por fallecimiento de D</t>
  </si>
  <si>
    <t>Santiagodel Valle</t>
  </si>
  <si>
    <t>........... 141 •2S Santiagodel Valle............. ... Agu'rar............................. *4* •25 8.a DHL i.° Cristóbal Paez...................... Benameji.......................... •4‘ ■?é</t>
  </si>
  <si>
    <t>Santos Cremona</t>
  </si>
  <si>
    <t>ientes: en el de Schwaller al Cadete D. Víctor Antonio Glutz: en el ambulante de Ruttimán al Cadete D. Santos Cremona: en el de Reding á los Sargentos primeros D. Matías Neuman y D. Carlos Sinner,y á ios Cadetes D. Pedro Jayme Rey y D. Josef Hetfleisch: en el de Bettschart al Cadete D. Francisco</t>
  </si>
  <si>
    <t>Santos Posadillo, Juan</t>
  </si>
  <si>
    <t>Juan Santos Posadillo</t>
  </si>
  <si>
    <t>ovincia, que cxerce D. Julián Alonso y Estrada,, penden los autos de la quiebra de la casa titulada D. Juan Santos Posadillo é hijos,ya difunto, vecino y del comercio que fué de esta corte, á la que pertenecen diferentes efectos de quincalla, que se hallan depositados en el Real sitio de Aranjuez; y por</t>
  </si>
  <si>
    <t>Santos Ximcnez de Muñana</t>
  </si>
  <si>
    <t>e, á deducir su derecho á los bienes que quedaron por fin y muerte abintestato de su hermano entero D. Santos Ximcnez de Muñana, Presbítero, vecino que fué de la referida ciudad, acaecida en 24 de Mayo de 1803. Los Patronos de las memorias fundadas por Doña Manuela Bandres Abarca hacen saber que entre las</t>
  </si>
  <si>
    <t>Santos y Grosin, Francisco</t>
  </si>
  <si>
    <t>Francisco Santos y Grosin</t>
  </si>
  <si>
    <t>rio de teología moral , compuesto primeramente por el P. Lárraga, 7 ahora últimamente reformado por D. Francisco Santos y Grosin: el quaderno que se imprimió antes solo contiene 94 definiciones pertenecientes á los sacramentos ; pero este las contiene todas. Se vende en 8.°, buen papel y letra, en la librer</t>
  </si>
  <si>
    <t>hora últimamente reformado, aíiadido, y reducido á mejor método, orden y conexión de doctrinas, por D. Francisco Santos y Grosin, Presbítero y profesor de teología : en este quaderno se trata Jel Bautismo, de la Confirmación, y parte de la Eucaristía ; y se ponen en castellano &amp;c., así como en el t.° alguno</t>
  </si>
  <si>
    <t>Santos'y, Francisco</t>
  </si>
  <si>
    <t>Francisco Santos'y</t>
  </si>
  <si>
    <t>n al fin del Prontuario de teología moral, compuesto por el P. Lárraga, y últimamente ilustrado por D. Francisco Santos'y (rrosm. r± Elementos teológico-morales según la mente de la sagrada escritura, concilios / santos padres y doctores de la Iglesia Scc. La utilidad que resulta de la lectura de est</t>
  </si>
  <si>
    <t>Sanz García, Felipe</t>
  </si>
  <si>
    <t>Felipe Sanz García</t>
  </si>
  <si>
    <t>” S. M. se ha servido.nombrar para unaCanongía de la Catedral de Osma, vacante por fallecimiento de D. Felipe Sanz García, á D. Pedro Bernardo D’Arcens: para una Ración de la deTudela, por promoción de D. Antonio Francisco Yanguas á Canongía de la misma, á D. Bernardo Carasusan: para una Capellanía d</t>
  </si>
  <si>
    <t>Sanz Teresa, Luis</t>
  </si>
  <si>
    <t>Luis Sanz Teresa</t>
  </si>
  <si>
    <t>00 del común; pero todo se le da cobrado y en; mano, Los. pretendientes dirigirán sus .memoriales a D. Luis Sanz Teresa, Alcalde mayor de la misma.villa. ' Número 1.11 del Memorial literario, ó biblioteca periódica de ciencias y artes. Contiene el extracto del tomo 10 del Compendio de la historia n</t>
  </si>
  <si>
    <t>Sanz, Antonio</t>
  </si>
  <si>
    <t>Antonio Sanz</t>
  </si>
  <si>
    <t>te á las gradas de S. Felipe. Colección de 200 títulos de comedias antiguas, del surtido que fué de D. Antonio Sanz: se darán por docenas, á 9 rs., tomando una docena de cada título; lo que se avisa á los libreros de esta Corte y fuera de ella, para que el que quiera hacerse con algunas comedia</t>
  </si>
  <si>
    <t>Sanz, Claudio</t>
  </si>
  <si>
    <t>Claudio Sanz</t>
  </si>
  <si>
    <t>rs. Quien quisiere hacer postura acuda dentro del término de 30 dias á la escribanía del número de D. Claudio Sanz. ■ En la villa de Belinchon , de unos 400 vecinos, provincia de Toledo y distante 11 leguas de Madrid, se halla, vacante la plaza de Médico titular, cuya dotación es de 69 rs. anu</t>
  </si>
  <si>
    <t>mo, á las 9 de su mañana, en la posada de S. S., á su presencia, y por ante el Escribano del número D. Claudio Sanz, á efecto de tratar y acordar en ella del modo y medios de hacerles el pago de sus legítimos créditos; lo que se hace saber á todas las personas que pretendan tener derecho á dich</t>
  </si>
  <si>
    <t>, del Consejo de S. M., Teniente Corregidor de esta villa, por ante el Escribano del número de ella D. Claudio Sanz. Se halla vacante el partido de Médico de la villa de Yuncos, dotado con 400 ducados del fondo de propios, y casa donde viva: este pueblo es de 100 vecinas, y dista 7 leguas de la</t>
  </si>
  <si>
    <t>s juntas en po$&gt; rs. Quien quisiere tratar de ajusté y compra, acuda á la escribanía del número de. D. Claudio Sanz,.en donde $é hallan los títulos de su pertenencia, y enterará dé las cairgás y gravámenes que tienen, que es en bastante cantidad. 01 Ji i' ‘ ' Se convoca y TI aln a á lós acreedo</t>
  </si>
  <si>
    <t>cantidad de 34^ rs. en metálico. Quien quisiere hacer postura, acuda á la escribanía del número de D. Claudio Sanz. Quien quisiere hacer postura á una casa sita en la calle de la Zarza y Peregrinos , núm. j 5 , manz. 382, cuyo sitió se compone de 4901 pies quadrados superficiales, valuada, con</t>
  </si>
  <si>
    <t>600 rs. Quien quisiere hacer postura, acuda ante dicho Sr. Teniente por la escribanía del numero de Don Claudio Sanz. Santiago Moreno, vecino de la ciudad de Logroño, hijo de Josef Moreno y de María Teresa Girón, ha fallecido en dicha ciudad, dexando por sus herederos universales á rodos sus sob</t>
  </si>
  <si>
    <t>olicía. Quien quisiere hacer postura , acuda ante dicho Sr. Teniente por la escribanía de número de D. Claudio Sanz. En el valle de Campoo de Suso, jurisdicción de la villa de Reynosa, y Arzobispado de Burgos, se halla vacante la plaza de Médico, con el sueldo de 69 rs., y sus adealas, que no s</t>
  </si>
  <si>
    <t>audiencia del Sr. Teniente Corregidor D. Torquato Antonio Collado, por ante el Escribano dei número Don Claudio Sanz. Teniendo que tratar cierto asunto de importancia con la viuda de D. Antoni# Noreña y Espinosa, Cónsul que fué en la isla de la Madera, la persona que sepa de su residencia, ó de</t>
  </si>
  <si>
    <t>5,654 rs. Quien quisiere hacer postura, acuda ante el dicho Sr. Teniente, y escribanía de número de D. Claudio Sanz. Los descendientes de Juan Bautista González del Alamo, que con documentos acrediten serlo legitimes, acudirán á Manuel González Mesa y Adamo, vecino de Cedillo, quien tiene que c</t>
  </si>
  <si>
    <t>Sanz, Francisco</t>
  </si>
  <si>
    <t>Francisco Sanz</t>
  </si>
  <si>
    <t>Francisco Oviedo; á Subrigadier al Cadete D. Joseph Quiñones; á'Cadetes de número al supernumerario D. Francisco Sanz, y al Guardia D. Francisco Verdinois, y á Cadete supernumerario al Guardia D. Eduardo ;CIavijo; y en la Compañía Flamenca del mismo Real cuerpo ha promovido tambien á Cadete super</t>
  </si>
  <si>
    <t>Sanz, Gaspar</t>
  </si>
  <si>
    <t>Gaspar Sanz</t>
  </si>
  <si>
    <t>las Carretas. El hombre de letras, del P. Daniel Bartoli, de la extinguida Compañía: traducido por D. Gaspar Sanz, presbítero, Bachiller en sagrada teología por la universidad de Salamanca , con los tratados siguientes : la sabiduría , la ignorancia , la lascivia, maldición., altivez y vanida</t>
  </si>
  <si>
    <t>Sanz, Pablo</t>
  </si>
  <si>
    <t>Pablo Sanz</t>
  </si>
  <si>
    <t>Justo de la villa de Sepúlveda , Diócesi de Segovia , vacante por fallecimiento de D. Pablo Sanz , agregado á otros dos que anteriormente habían vacado en ella, en virtud de lo dispuesto por el plan general beneficial de la referida Diócesi, á D. Gerónimo Calleja, con ia obli</t>
  </si>
  <si>
    <t>Sapieha, Princesa</t>
  </si>
  <si>
    <t>Princesa Sapieha</t>
  </si>
  <si>
    <t>nvidados hubo algunos .Senadores Franceses, varias damas Polacas, entre las quales se distinguía la Princesa Sapieha, los 3 Embajadores Americanos que sucesivamente ha habido en esta residencia, Mr. Lewinston, que la dexa, Mr. Monroe, que lo reemplaza. También asistid Mr..de la Fayette. Reyno en</t>
  </si>
  <si>
    <t>Saqueti, Cayetano</t>
  </si>
  <si>
    <t>Cayetano Saqueti</t>
  </si>
  <si>
    <t>da, graduado de Teniente Coronel, D. Josef Cienfuegos: á Sargentos mayores á Los Capitanes primeros D. Cayetano Saqueti, y D. Diego Salido; y á Capitanes primeros á los segundos D. Gil Saenz deTeiada,D. Josef Hidalgo, y D. Francisco de Vargas. También ha conferido S. M. Ayudantía en el regimiento d</t>
  </si>
  <si>
    <t>Sarachaga, Francisco</t>
  </si>
  <si>
    <t>Francisco Sarachaga</t>
  </si>
  <si>
    <t>s Urrecha, D: R.jmon Moyua, D. Ramón Torre, D. Manuel Berna!, D. Antonio Mañeáis D.Joaquín Elgueta, D. Francisco Sarachaga, D. Josef García Joves, ÍD- Miguel Valdasano, D. Josef Leyva, D. Rafael Rodríguez Guerra,,0O. llamón Ortiz Canelas, D. Joaquín de Mora, D. Alonso Solís, X&gt;. Jjunan Robredo, D. Jos</t>
  </si>
  <si>
    <t>Sarasa, Tomás</t>
  </si>
  <si>
    <t>Tomás Sarasa</t>
  </si>
  <si>
    <t>Chica ; á Teniente de fusileros ai Subteniente D. Erancisco Guelvenzu; á Subtenientes á los Cadetes D. Tomas Sarasa y D. Juan Sangran, y á Ayudante, con grado de Subteniente, al Sargento primero distinguido D. Josef García. Carta escrita desde Valladolid d 14 de Abril. Amigo mió: Consiguiente á mi</t>
  </si>
  <si>
    <t>Sardana, Vicente</t>
  </si>
  <si>
    <t>Vicente Sardana</t>
  </si>
  <si>
    <t>encias en el de Zaragoza á los Subtenientes D. Juan Josef de Natfas, D. Francisco de Paula Miranda, D. Vicente Sardana y D. Sebastian Norzagaray, este de granaderos: en el primer batallón de Voluntarios de Barcelona ai Subteniente D. Pedro Pablo Tarrago; y el empleo de Capitán segundo en el batallón d</t>
  </si>
  <si>
    <t>Sarga, Domingo</t>
  </si>
  <si>
    <t>Domingo Sarga</t>
  </si>
  <si>
    <t>D. Francisco Perez del Villar y D. ManueJ Mexía; y á Subteniente de bandera del de Xerez al Cadete D. Domingo Sarga. A conseqüencia de la visita que de orden del'Rey, comunicada por el Sr D Pedro Cevallos , primer Secretario de Estado y del Despacho, hizo él Sr. Gobernador del Consejo de los Re</t>
  </si>
  <si>
    <t>Sarmiento de Gamboa, Pedro (capitán)</t>
  </si>
  <si>
    <t>Capitán Pedro Sarmiento de Gamboa</t>
  </si>
  <si>
    <t>rages, y otros asuntos útiles y curiosos, ¿136 rs. en pasta. Viage al estrecho de Magallanes por el Capitán Pedro Sarmiento de Gamboa en los años de 1579 y 1580: un tomo en 4.0, á 19 rs. en pasta. Se hallarán en el despacho de la imprenta Real. En virtud de providencias del Sr. D. Torquato Antonio Collado, del Con</t>
  </si>
  <si>
    <t>Sarmiento, Julián</t>
  </si>
  <si>
    <t>Julián Sarmiento</t>
  </si>
  <si>
    <t>los regimientos provinciales á Capitanes de los de Plasencia y Cuenca á los Tenientes de granaderos D. Julián Sarmiento y D. Alfonso Tomico; á Tenientes de ios de Píasencia y Avila d los Subtenientes D. Pedro Lobo, D. Josef Barbachano , D. Tomas de Soldevilla, y D. Mariano de Becerrii; á Subteniente de</t>
  </si>
  <si>
    <t>Sarokin</t>
  </si>
  <si>
    <t>n nuestra República para levantar un batallón, compuesto de 700 Albancses. El General Baschmetieíf, Mr. Sarokin, el Príncipe Dologouki, y el Teniente Coronel Romano han ido á visitar á SantAngelo y demas puestos de la isla , susceptibles de ser fortificados. Cadi-Bey está mandando 6 naves t</t>
  </si>
  <si>
    <t>Sattler, Juan Pedro</t>
  </si>
  <si>
    <t>Juan Pedro Sattler</t>
  </si>
  <si>
    <t>aderos D. Eugenio de Courten; esta resulta al Capitán segundo D. Estanislao de Werra; y Tenencias á D. Juan Pedro Sattler y D. Josef JBrayer, Subtenientes de granaderos del mismo: en el de WimpíFen Tenencia á D. Josef Chichery, Subteniente de granaderos: en el de Traxler Tenencia al Subteniente de granad</t>
  </si>
  <si>
    <t>Saturnino Barbaza</t>
  </si>
  <si>
    <t>Cádiz. También ha concedido S. M. jubilación al Secretario de la Presidencia del Consejo de Indias D. Saturnino Barbaza , en atención á que sus males no le permiten continuar desempeñando dicho empleo, que ha conferido á D. Fermin Zalayeta, Oficial mayor de la citada Secretaría: esta plaza.á D. Fra</t>
  </si>
  <si>
    <t>Saumarez, Almirante</t>
  </si>
  <si>
    <t>Almirante Saumarez</t>
  </si>
  <si>
    <t>pero que no es maligna ni epidémica.” En la Gazeta de la Corte se ha publicado el oficio del Contra-Almirante Saumarez, en que anuncia al Almirantazgo, que ei Capitán Henniker ha dado caza el 5 de este mes á 5 lugres armados enemigos, y los ha arrojado al dia siguiente contra las rocas de Gronez.</t>
  </si>
  <si>
    <t>Saumingue, Agustín</t>
  </si>
  <si>
    <t>Agustín Saumingue</t>
  </si>
  <si>
    <t>izarro, D. Miguel del Pino, y D. Wenceslao del Pino, y á los Sargentos primeros D. Josef Molina , y D. Agustín Saumingue. Asimismo en el regimiento de dragones de México se ha servido S. M. promover á Teniente Coronel ai Sargento mayor D. Diego García Conde; á Sargento mayor al Capitán D. Josef Marí</t>
  </si>
  <si>
    <t>Sauz, Claudio</t>
  </si>
  <si>
    <t>Claudio Sauz</t>
  </si>
  <si>
    <t>misiones, valuado en 38,600 rs. Quien quisiere hacer postura acuda per la iíscjJbanía del número de D. Claudio Sauz dentro del término de 30 dias, cantados desde el 14 de Junio. Se cita, llama y emplaza á los acreedores de D. Lorenzo Mariano Díaz de ia Madrid, natural de la-ciudad de S. Francisco</t>
  </si>
  <si>
    <t>Scheel</t>
  </si>
  <si>
    <t>nado á sus enfermos darse friegas con aceyte, y de esta forma ha puesto en práctica los consejos de Mr. Scheel, de Copenhague, de emplear aceyte, como específico, para los apestados. De 8 soldados de la guarnición de Santa Cruz, á quienes aplicó este remedio, se vieron libres enteramente d</t>
  </si>
  <si>
    <t>Scheremetoíf, Conde</t>
  </si>
  <si>
    <t>Conde Scheremetoíf</t>
  </si>
  <si>
    <t>de la historia, á responder á la posteridad del bien que no quisiéron, m comprehender ni obrar. El Conde Scheremetoíf, Gran Chambelán del Emperador, ha depositado una suma de dos millones y medio de rublos para fundar á nombre y en memoria de su esposa Prascovia un hospicio destinado á recibir en</t>
  </si>
  <si>
    <t>Scherer, General</t>
  </si>
  <si>
    <t>General Scherer</t>
  </si>
  <si>
    <t>ere en el exército de Italia , y su presencia repara los desastres causados por ei demasiado inepto General Scherer.__ Con los escombros de aquel exército, vuelve á componer otro nuevo; y contiene 80® enemigos___ Muere Joubert, y salva otra vez el exército. Unese á Bonaparte en 18 de Brumario \</t>
  </si>
  <si>
    <t>Schéwrin, Conde</t>
  </si>
  <si>
    <t>Conde Schéwrin</t>
  </si>
  <si>
    <t>á S. M. á las maniobras de otoño; y en 1778 se le dio su retiro, encargándolo al Caballerizo mayor Conde Schéwrin, quien de quando en quando daba cuenta á S. M. del estado de aquel afortunado animal, que fue el último que montó el Gran Federico. Augsburgo $ de Mayo. En varias cartas de Inspru</t>
  </si>
  <si>
    <t>Schiimcelpenninck</t>
  </si>
  <si>
    <t>e se suprimirán algunos empleos subalternos. Díce e que habrá también reforma en el exército, y que Mr. Schiimcelpenninck será el sugeto en quien se reúna casi todo el poder executivo. El departamento de lá Guerra se pondrá en el mismo píe que el Colegio de la Guerra en Berlín, y el General Dumonceau</t>
  </si>
  <si>
    <t>Schimmelpenninck</t>
  </si>
  <si>
    <t>quizá mas tardé, conoceremos positivamente el nuevo proyecto: entre tanto corre por muy cierto que Mr. Schimmelpenninck será puesto al frente del gobierno , con el título de Gran Pensionario, ú otro semejante. r'' ' ' ' V!' SülzA. '■ 1 " Berna %i de Setiembre. El Consejo menor del Cantón de Vaud ha</t>
  </si>
  <si>
    <t>Schiner, General</t>
  </si>
  <si>
    <t>General Schiner</t>
  </si>
  <si>
    <t>con que executáron las evoluciones hau admirado á todos los militares que se hallaban presentes. El General Schiner mandaba la infantería, y el General Kellerman la caballería. Muchas gentes acuden este año á tomar las aguas de Pirmont, de Naumburgo, de Driburgo y de Rehburgo: ya no hay habitac</t>
  </si>
  <si>
    <t>Schinner, General</t>
  </si>
  <si>
    <t>General Schinner</t>
  </si>
  <si>
    <t>publicado ei 15 del corriente por el magistrado de Hannóver, se han entregado en la Secretaría dei General Schinner, comandante de esta ciudad,como unas 16© pesetas dé los efectos militares pertenecientes al 8.° regimiento de infantería hannoveriana. Escriben de Petersburgo que el n de Noviembr</t>
  </si>
  <si>
    <t>Schlegel</t>
  </si>
  <si>
    <t>ros de este ministerio á Mr. Baile, Obispo deSeelando, á Mr. Moldenhauer, profesor de teología, y á Mr. Schlegel, profesor de leyes. La pla^a de Secretario dicen que se la darán á Mr. Rahbeck, literato distinguido—^ Mr. Guldberg, poeta acreditado, hijo del antiguo Ministro de Estado del mism</t>
  </si>
  <si>
    <t>Schoefer</t>
  </si>
  <si>
    <t>cuenta de él en los papeles públicos, en que haré poner vuestros nombres.’* El ciud. Schoefer, que era el principal ó gete del Jufi&gt; pidió la voz y dixo: ,,Ciudadano Presidente, he hecho quanto he podido para empeñar á los jurados á que respondiesen afi</t>
  </si>
  <si>
    <t>Scholtz, Gerónimo</t>
  </si>
  <si>
    <t>Gerónimo Scholtz</t>
  </si>
  <si>
    <t>no en dicha ciudad ha cómunicadó á los Cónsules de las demas potencias la nota que ha reci^ bido de D. Gerónimo Scholtz, Encargado de negocios de la corte dé Berlin en la de Madrid , concebida en estos términos: ,, El Embaxador de Francia me ha comunicado una carta de Mr. Dubois-Tainville, Encargad</t>
  </si>
  <si>
    <t>Schroter</t>
  </si>
  <si>
    <t>, y sobre él se colocó una urna sepulcral con esta inscripción: ciñeres mortales, immortajli Kanti. Mr. Schroter pronunció la oración fúnebre, y los músicos del teatro cantaron un himno á su gloria. Copenhague 20 de Febrero. Mr. Listón, Ministro de Inglaterra, saldrá de aquí el día 4 del mes</t>
  </si>
  <si>
    <t>Schultess</t>
  </si>
  <si>
    <t>has sentencias son contra individuos déla Asamblea legislativa ó gran Consejo, á saber: una, contra Mr. Schultess, de Stacfa, suspenso ce todos sus empleos por un año: otra centra Mr. Zangger, de Uster, suspenso por 3 años: la tercera contra Air. Crauer, de Bincizon, suspenso por 2 años; y la</t>
  </si>
  <si>
    <t>Scolti, Manuel</t>
  </si>
  <si>
    <t>Manuel Scolti</t>
  </si>
  <si>
    <t>tivos que la asisten no creen sea necesario cortar ningún dedo. ITALIA. Ñapóles 2j de Setiembre. El Profesor Manuel Scolti acaba de publicar la relación del viage que hizo, el 23 del pasado, al monte Vesuvio, en compañía del Marques de Carrega, y del Sr. de Fació, Capellán: „Quando íbamos trepando, di</t>
  </si>
  <si>
    <t>Scoroez, Manuel</t>
  </si>
  <si>
    <t>Manuel Scoroez</t>
  </si>
  <si>
    <t>que lo era igualmente, D. Josef CieafueggP'S 1 D. Josef María Blak, D. Simón Mesía, D. Josef Godoy, D. Manuel Scoroez, D.Manuel Arévalo , D. Josef Caballero, D. Gaspar Orue , D.njltyfknuel Josel de Landa, D. Pedro Olea, D. Manuel Enna , D. Alonso Illlaipa, D. Josef León, D. Ildefonso Fonseca , D.</t>
  </si>
  <si>
    <t>Scrofani</t>
  </si>
  <si>
    <t>conocimiento de las lenguas orientales, catedrática de teología en la universidad de Tubingen, y á Mr. Scrofani, Siciliano, conocido por sus muchas y buenas obras acerca del comercio y la estadística, En la última junta pública de la Academia de ciencias de S. Petersburgo se leyó el informe</t>
  </si>
  <si>
    <t>Sébastiáiír</t>
  </si>
  <si>
    <t>an y Vázquez , D. Juan (üródóy y Castró1; D.áNicolastdel Rio Nogúerido, D. Tomas Cisca r y Orióla y D. Sébastiáiír:Bufler y Henriquez, D. Francisco Ris.tori y Medina, D. Luis Liniers y Menibielle, Don Santiago Soroa y Soroá, D* Carlos Vaicárcel y RosiqueyD. Juan Carranza y Vivero , D. Juan Tor</t>
  </si>
  <si>
    <t>Sebastiani, General</t>
  </si>
  <si>
    <t>General Sebastiani</t>
  </si>
  <si>
    <t>n cierta ocasión contra los rusos.__ El nuevo Capitán Baxá es el mismo que se portó tan bien con el General Sebastiani á su arribo á Egipto. Continuamente están llegando á nuestro puerto navios mercantes de muchas naciones. Los buques raguseos son siempre los primeros que reciben sus cargamentos.</t>
  </si>
  <si>
    <t>Secane, Antonio María</t>
  </si>
  <si>
    <t>Antonio María Secane</t>
  </si>
  <si>
    <t>Cosmógrafos de Estado D. Vicente Valdivia; en el de Nápoies ai Cadete del de las Ordenes Militares D. Antonio María Secane; y en el primer batallón de Voluntarios de Aragón al Sargento primero D. Cereríno Laborda. El Rey se ha servido nombrar ^Subteniente de caballería del quinto regimiento del Real C</t>
  </si>
  <si>
    <t>Sech, Juan Bautista</t>
  </si>
  <si>
    <t>Juan Bautista Sech</t>
  </si>
  <si>
    <t>rimero D. GrHtóbarMunoz; y en el,dé voluntarios de la Corona Tenencia al Subteniente de -granaderos D. Juan Bautista Sech. En consideración á tos dilatados y distinguidos servicios de D. Manuel Ximenez Bretón, Secretario con voto de la Junta general de Comercio, - Moneda, Minas y dependencia de extra</t>
  </si>
  <si>
    <t>Sécrétah</t>
  </si>
  <si>
    <t>sta disposición hostil de parte de esta Regeiicia&amp;e:” v y r ‘ '• :■ SUIZA. Basilea 10 de ■ Junio. ' Mr. Sécrétah, diputado del cantón de Vaud, tiene encargo de declarar á la Dieta, en nombre de su gobierno, que espera se conforme en adelante’'con la mayór escrupulosidad, no soto al espíritu,</t>
  </si>
  <si>
    <t>Secretan</t>
  </si>
  <si>
    <t>votos; ha habido fuertes debates, y grande oposición; pero la mayoría de les vocales ha triunfado. Mr. Secretan, diputado del cantón de Vaud, no ha tenido parte en las deliberaciones de ninguno de dichos decretes. La comisión particular, encargada de arreglar tedas las relaciones con la cor</t>
  </si>
  <si>
    <t>Sedaine</t>
  </si>
  <si>
    <t>ias sobre la instrucción pública en Rusia; nuevo preservativo contra la peste; noticia literaria de Mr. Sedaine; legislación, libros &amp;c. Se hallará en las librerías de Escribano y de Montero. Avisos saludables de un filósofo cristiano, distribuidos para cada dia del mes, sacados de un manus</t>
  </si>
  <si>
    <t>Sedaño, Nicolás</t>
  </si>
  <si>
    <t>Nicolás Sedaño</t>
  </si>
  <si>
    <t>el provincial de Avila ; á los Cadetes de Reales Guardias de infantería Española D. Patricio Bayon, D. Nicolás Sedaño y D. Francisco Cortés; como á los de la propia clase de los Regimientos de infantería del Rey , León y primero de Voluntarios de Aragón D. Quintín Velasco, D. Josef Román y D. Félix A</t>
  </si>
  <si>
    <t>Sedar, Francisco</t>
  </si>
  <si>
    <t>Francisco Sedar</t>
  </si>
  <si>
    <t>ente de granaderos D. Antonio Rcthen; yen ei de YVimpffen Subtenencia de granaderos al de fusileros D. Francisco Sedar. En ei Real Cuerpo de Artillería se ha servido el R ey ascender á Capitanes primeros á los segundos D. Carlos Espinosa, D. Manuel del Rio, D. Mariano Osorio y D. Vicente Novella:</t>
  </si>
  <si>
    <t>Segovia, Pedro</t>
  </si>
  <si>
    <t>Pedro Segovia</t>
  </si>
  <si>
    <t>283-16 Pedro Segovia...................... Teba.................................... 14 Manuel Ana......................... Aldea nueva............. 141-25 Josef Vetes....</t>
  </si>
  <si>
    <t>Segura, Antonio</t>
  </si>
  <si>
    <t>Antonio Segura</t>
  </si>
  <si>
    <t>anongía, que en la Sta. Iglesia de Segovía ha resultado vacante por muerté de D. Francisco Soler, á D. Antonio Segura, Capellán del Regimiento de caballería de Calatrava, en consideración á sus servicios, y conforme al Reglamento de 30 dé Enero último. S. M. se ha servido nombrar para la Pabordía</t>
  </si>
  <si>
    <t>Selma, Fernando</t>
  </si>
  <si>
    <t>Fernando Selma</t>
  </si>
  <si>
    <t>os y compañeros , á 10 reales cada una...... 20. 12. El retrato de Fernando Magallanes, grabado por D. Fernando Selma....... ....................... 4* 3* Vista de la corbeta Atrevida entre bancas de nieve la noche del 28 de Enero de 1794...... 10. Idem de la ciudad de Santiago de Chile.........</t>
  </si>
  <si>
    <t>Senesens, Julián</t>
  </si>
  <si>
    <t>Julián Senesens</t>
  </si>
  <si>
    <t>rgentos primeros en el regimiento inmemorial del 3\&lt;@&gt;y D.. Faustino Zaragoza*. en el de la Reyna á D. Julián Senesens: en^ld,e Granada á D. Francisco Ailer: en el de Toledo á D. Francisco Gaipcía ¡ en ei de Mallorca á D. Andrés Floren: en el de Irlanda á D. Inocencio!Santobety: en el de Cantabria</t>
  </si>
  <si>
    <t>Señor Sousa</t>
  </si>
  <si>
    <t>Cobentzel, Embaxador de Viena; el Marques de Galio, Embaxador de Ñapóles, y el Señor Sousa, Ministro plenipotenciario de Portugal, han marchado de aquí en busca del Emperador, para desempeñar sus comisiones respectivas. » ESPAÑA, \ ’ . Madrid rS de Setiembre. f El Rey se ha servi</t>
  </si>
  <si>
    <t>Serapio de la Hormaza</t>
  </si>
  <si>
    <t>ronomía, tomos en 4.0 mayor. 2.0: D. Josef Gil: Lalande, Compendio de Astronomía___ Geografía. i.°: D. Serapio de la Hormaza: Mendoza, Tablas, Astronomía. 2.ü: D. Antonio Palacio: Viage de las goletas, con su atlas. __ Historia. i.°: D. Antonio Palacio : Mariana, Historia de España, edición grande de Ib</t>
  </si>
  <si>
    <t>Serokin</t>
  </si>
  <si>
    <t>mando en gefe de todas las tropas Rusas reunidas en la República de las Siete-Idas. Esté General , Mr. Serokin, General de la Marina, y el Conde de Mcncenigo, componen una junta Imperial, que ha tv^mado todos los poderes civiles y militares. Mr. Lanterope está encargado especialmente de to</t>
  </si>
  <si>
    <t>Serra, Juan Bautista</t>
  </si>
  <si>
    <t>Juan Bautista Serra</t>
  </si>
  <si>
    <t>neficio préstamo del lugar de los Hoyos en el obispado de Coria, que se halla vacante por muerte de D. Juan Bautista Serra, á D. Timoteo de Brea, Acólito de la Real capilla, parroquia de S. Antonio de la Florida: para los Beneficios simples de Oranca y Selorio, en la diócesis de Oviedo, á D. Quintín d</t>
  </si>
  <si>
    <t>l Teniente D. Cayetano Abascal: á Teniente en el regimiento de infantería de Córdoba al Subteniente D. Juan Bautista Serra; y á Subtenientes de bandera en el del Príncipe y en el batallón de Voluntarios de Valencia á los Cadetes D. Julián Durante y D. Juan Cardona Galiano, este del regimiento de infan</t>
  </si>
  <si>
    <t>Serrano Manzano, Joaquín</t>
  </si>
  <si>
    <t>Joaquín Serrano Manzano</t>
  </si>
  <si>
    <t>tica fundados sobre el sistema de Brown por el Consejero VVeykard, publicados en español por el Dr, D. Joaquín Serrano Manzano \ quarto y quinto tomo en Estando .ya publicados los tres primeros tomos, que forman un curso completo, útil y claro de Medicina-práctica sobre Jas enfermedades universales, se da</t>
  </si>
  <si>
    <t>Serrano Manzauo, Joaquín</t>
  </si>
  <si>
    <t>Joaquín Serrano Manzauo</t>
  </si>
  <si>
    <t>de la peste de Atenas, por Tucidides, Trasladado todo al español por el Dr. D» Joaquín Serrano Manzauo , Médico , Secretario perpetuo del Real Colegio de Medicina de Madrid y y del Real Estudio de Me dicina-pr detica. El conjunto de esta obra se puede mirar con justa razón como el dechado m</t>
  </si>
  <si>
    <t>Serrano y Cieza, Juan Antonio</t>
  </si>
  <si>
    <t>Juan Antonio Serrano y Cieza</t>
  </si>
  <si>
    <t>. M. nombrar para una plaza de Oidor de la Chancíllería de VáUadolid, vacante por fallecimiento; de D. Juan Antonio Serrano y Cieza, á D. Miguel Ortiz Otañez, Alcalde del crimen mas antiguo de ella; y para esta resulta á D» Santiago Zapata: para el Corregimiento de Letras de la villa de Olmedo á D, Jcaquin Ter</t>
  </si>
  <si>
    <t>Serrano, Blas</t>
  </si>
  <si>
    <t>Blas Serrano</t>
  </si>
  <si>
    <t>112 los sermones, ha inventado D. Blas Serrano, presbítero, residente en la ciudad de Alicante, una maquinita acústica ; y habiéndola presentado ante el Sr„.Gobernador de dicha ciudad, y pedido certificación de las observacion</t>
  </si>
  <si>
    <t>Serrano, María</t>
  </si>
  <si>
    <t>María Serrano</t>
  </si>
  <si>
    <t>te se expone su uso y Jas, varías Utilidades que puede tener. . ,/.$e solicita saber el paradero de Doña María Serrano , viuda de D. Domingo Anjtonio Paz, á quien hay que entregar algunos intereses que la corresponden; para cuyo-efecto podrá,acudir á D. Lorenzo Román Martínez Gayón, que vive calle</t>
  </si>
  <si>
    <t>Severo Agulrre</t>
  </si>
  <si>
    <t>inuación v suplemento del Prontuario alfabético y cronológico por orden de materias, que (Hó-á. luz D. Severo Agulrre,. de las pragmáticas, decretos y derivas Reales resoluciones no recopiladas, comprehensivas al año pasado de 1803, y alcunas otras de las anteriores: dispuesto por I). Josepli Gar</t>
  </si>
  <si>
    <t>Sevilla, Carlos</t>
  </si>
  <si>
    <t>Carlos Sevilla</t>
  </si>
  <si>
    <t>á los Subtenientes de los mismos cuerpos D. Francisco Davan, d,e granaderos , D. Manuel Espatolero,D. Carlos Sevilla, de granaderos, y D. Benito del Moral: Tenencia de granaderos en el regimiento Suizo , vacante de Yarm, ai de fusileros, D. Melchor Risy ; y Subtenencia en el ambulante de Ruttima</t>
  </si>
  <si>
    <t>Seyfler</t>
  </si>
  <si>
    <t>de Junio. S. A. E.ha resuelto mandar construir aquí un observatorio, con arreglo al plan ideado por Mr. Seyfler, profesor en Gottinga. S. A. le ha encargado la execucion de su plan, y le ha nombrado astrónomo de lá . corte , director del nuevo observatorio, é individuo de la Academia de cie</t>
  </si>
  <si>
    <t>Sheridam</t>
  </si>
  <si>
    <t>e ellos. En el estado en que se halla nuestra marina, no debemos concebir la menor desconfianza.”__ Mr. Sheridam elogia la conducta del Almirantazgo, y se burla del establecimiento de las barcas cañoneras. Mr. Fox dice que nadie mas que él respeta las virtudes y el carácter del Lord S. Vicente</t>
  </si>
  <si>
    <t>Sicuro y Nicolás Migliaressi, Juan (conde)</t>
  </si>
  <si>
    <t>Conde Juan Sicuro y Nicolás Migliaressi</t>
  </si>
  <si>
    <t>a República, recayó en el Conde Antonio Comuto , y las de Censores en el Conde Antonio Capodistria, Conde Juan Sicuro y Nicolás Migliaressi. • El 25 tomó posesión el Senado. El Cuerpo legislativo, á quien la constitución atribuye esta función, pasó con los miembros del nuevo Se—¿ nado con mucha pompa, á la capilla del</t>
  </si>
  <si>
    <t>Sidney Smith</t>
  </si>
  <si>
    <t>delante de Ostende, y que ha dexado en buen estado. La esquadriüa enemiga se mantenía en el puerto. Sir Sidney Smith se halla muy mejorado de sü grave enfermedad , y el juéves por la mañana tuvo una conferencia con Mr. Pitt. Según las #timas noticias de Nueva-Yorck, de 22 del pasado, se go</t>
  </si>
  <si>
    <t>Sidney Smith y Sir Home Popham</t>
  </si>
  <si>
    <t>stillo de Walmer, en la que se ha tratado de la mejor defensa de nuestras costas. Asistieron á ella Sir Sidney Smith y Sir Home Popham. Los últimos papeles Americanos están llenos de las expresiones del sentimiento general que ha causado en todas las ciudades de los EstadosUnidos la muerte del General Hamilton» L</t>
  </si>
  <si>
    <t>Siegesbek</t>
  </si>
  <si>
    <t>ión. En 1658 acaeció idéntico fenómeno en el Ducado de Mansfeld, según el testimonio de Spangerbeg: Mr. Siegesbek, en las memorias de Breslaw, hace mención de otra lluvia de azufre en Brunswik, por Octu-" Jbre de 1721; y, por último, Mr. Du-Tour, en el tomo 18 del nuevo Diccionario de histori</t>
  </si>
  <si>
    <t>Sierra, Andrés</t>
  </si>
  <si>
    <t>Andrés Sierra</t>
  </si>
  <si>
    <t>se fr^vídó eV Rey pronfover i Teniente Coronel al Capitán D Lorend Zo Monroy; á Capitán al Teniente D. Andrés Sierra í ajeníente al Alférez D. Josef Escalante; ¿ Alféreces á los-Portaguiones^D. Manueljopez y D. Miguel Rosales, y ¿ Portaguiones a D. Pedro Imas y D. Manuel Gómez Bulnes. Asimismo e</t>
  </si>
  <si>
    <t>Sierra, Benito</t>
  </si>
  <si>
    <t>Benito Sierra</t>
  </si>
  <si>
    <t>141-25 Benito Sierra .................... Huesca............................. 141..25 Pascual Otero............—.... ,. S. Pedro Víalo............ 141-25 Juan Salgado............</t>
  </si>
  <si>
    <t>Síf</t>
  </si>
  <si>
    <t>s de las clases de matemáticas erigi^ ^or la Sociedad, el que baxo la dirección de sus Catedráticos D. Síf^siia.ii Morera y D on Juan de Acosta, sostuvieron el Dr. D. Manuel ^ Céspedes, Dr. D. Josef María Domínguez, D. Macedonio Alvarez, D.. Vicente Martínez Gómez , y ef Dr. D. Francis</t>
  </si>
  <si>
    <t>Silverio Menduiña</t>
  </si>
  <si>
    <t>ería de Mallorca y en el de Suizos de Reding á los Subtenientes de granaderos de los mismos cuerpos D. Silverio Menduiña y D. Juan Brosey. Igualmente ha conferido S. M. Compañía en el regimiento de caballería del Rey, primero de línea, al Ayudante , graduado de Capitán,' D. Joaquín de la Fuente. &gt; S. M.</t>
  </si>
  <si>
    <t>Silvestre Blanco</t>
  </si>
  <si>
    <t>das de voluntarios de cabalie-r -ría de Montevideo, D. Valero. Martínez; y.á Portaguiones al Cadete D. Silvestre Blanco, á los Sargentos D. Bernabé Ruiz y D. Francisco •Saez, el primero graduado de Alférez, y al Cadete del regimiento de Reales Guardias Españolas D. Marcos de Sobremonte. Igualmente</t>
  </si>
  <si>
    <t>Silvestre Martínez, Manuel</t>
  </si>
  <si>
    <t>Manuel Silvestre Martínez</t>
  </si>
  <si>
    <t>asta. Los subscriptores á la obra intitulada Librería de Jueces, compuesta de 8 tomos, que escribió D. Manuel Silvestre Martínez, acudirán, á recoger los tomos que les falte; y se halla venal toda la obra, con las adiciones que escribió D. Ramón Antonio de Higuera, en la librería de Llera, plazuela del Ange</t>
  </si>
  <si>
    <t>Simnions</t>
  </si>
  <si>
    <t>idas veces á los Ministros del estado de la indisposición de S. M.: cu aquel misino dia se llamó al Dr. Simnions, primer Médico del hospital de San Lúeas, por donde se cree que haya repetido á S., M. el mal de que. otra vez ha. padecido.. Se hablaba en dias pasados de. las disposiciones de l</t>
  </si>
  <si>
    <t>Simó, Pedro</t>
  </si>
  <si>
    <t>Pedro Simó</t>
  </si>
  <si>
    <t>e Valladolid, á D. Antonio Apellaniz, Alcaide del crimen mas antiguo de ella; y para esta resulta á D. Pedro Simó. En el dia 26 de Julio último entró en el puerto de la Coruña, procedente de los de Cartagena, Havana y Puerto-Rico, la corbeta correo de la Real armada, nombrada el Infante D. Fr</t>
  </si>
  <si>
    <t>Sinariz, Ignacio</t>
  </si>
  <si>
    <t>Ignacio Sinariz</t>
  </si>
  <si>
    <t>. 141-25 Ignacio Sinariz...................... Corana........................ 141-25 Francisco Fernandez......... . Pajares........................ 141-25 Salvador Gómez................. Arg</t>
  </si>
  <si>
    <t>Sir William Pitt, General</t>
  </si>
  <si>
    <t>General Sir William Pitt</t>
  </si>
  <si>
    <t>familia Real saliéron el 24 de Windsor para Weymouth. S. M. se detuvo en Hihñeld, casa de campo del General Sir William Pitt, y llegará el 25 á Weymouth. HOLANDA. Haya J $ de Setiembre. Hace mucho tiempo que no se tenían noticias del estado de la colonia del Cabo de Buena Esperanza. Ayer entró en el Tex</t>
  </si>
  <si>
    <t>Sirera, Pablo</t>
  </si>
  <si>
    <t>Pablo Sirera</t>
  </si>
  <si>
    <t>lanzat, D. Juan Palomino y D. Nazareo de Egeia, Capitanes segundos; y á este empleo á ios Tenientes Don Pablo Sirera, D. Miguel Arechavala y D. Melchor Silvestre. En los regimientos de cabállería de España , octavo de línea, y de Españoles , sexto de Húsares, se ha dignado el Rey promover &lt;i Ten</t>
  </si>
  <si>
    <t>Smith, Gaspar</t>
  </si>
  <si>
    <t>Gaspar Smith</t>
  </si>
  <si>
    <t>modidad y "beneficio del -público se venderán en adelanté los se» minuetes para el forte-piano, por D. Gaspar Smith , y los otro* 6* para- el : mismo instrumento por D. Y. C. P., quadernonám. i.°, anunciados en li gazatanúm. 99 del año próximo anterior , i g rs. cada exeroplar, «n lugir de los</t>
  </si>
  <si>
    <t>Sobrado, Pedro</t>
  </si>
  <si>
    <t>Pedro Sobrado</t>
  </si>
  <si>
    <t>l Consejo de S. M., Teniente Corregidor de esta villa, se cita, llama y emplaza á los acreedores de D. Pedro Sobrado, residente en ella , para que en el término de 9 dias, contados desde el 30 de Agosto, comparezcan ante dicho Sr. por la escribanía del numera" de D. Antonio Fernandez, por sí ó p</t>
  </si>
  <si>
    <t>Sociats, Juan</t>
  </si>
  <si>
    <t>Juan Sociats</t>
  </si>
  <si>
    <t>Lacorte y D. Alexandro Pastor; y á Capitanes segundos á los Tenientes D. Isidoro García de Montejo, Don Juan Sociats, D. Fernando Norzagaray y D. Pedro Salazar. En América. Habiendo resuelto S. M. que con ,el batallón veterano de Sto. Domingo se forme el tercero del regimiento fixo de Puerto-í*</t>
  </si>
  <si>
    <t>Sofia-Albertina, Princesa</t>
  </si>
  <si>
    <t>Princesa Sofia-Albertina</t>
  </si>
  <si>
    <t>e acompañaba una carta muy lisonjera para este redactor. El 5 de este mes ha llegado á Stockolmo la Princesa Sofia-Albertina. Según las noticias de esta capital, con fecha del dia 6, hacia aquellos días un frío tan rigoroso, que se pasaban en rastras los brazos de mar y rios del país; lo que no.dexa de</t>
  </si>
  <si>
    <t>Soiiva y Joaquín Rodríguez, Salvador</t>
  </si>
  <si>
    <t>Salvador Soiiva y Joaquín Rodríguez</t>
  </si>
  <si>
    <t>A. Cavanilles : dos tomos á 84 rs. en rústica. Observaciones de las virtudes de varias plantas, por D. Salvador Soiiva y Don Joaquín Rodríguez: tres tomos en 8.° con estampas, á 27 rs. en rústica. Se hallarán en el despacho de Ja imprenta Reai. A voluntad de su dueño se venden 20 cabezas de ganado lanar fino trashumante,</t>
  </si>
  <si>
    <t>Sola, Miguel</t>
  </si>
  <si>
    <t>Miguel Sola</t>
  </si>
  <si>
    <t>D. Miguel Marqueli y Rusell y D. Luis del Corral; y en el expresado de Ultonia al Sargento primero D. Miguel Sola. En los regimientos de caballería de línea del Rey y del Infante se ha servido S. M. promover á Ayudantes á los Tenientes de los mismos cuerpos D. Matías Montes y D. Gabriel Tagle</t>
  </si>
  <si>
    <t>Solá, Miguel</t>
  </si>
  <si>
    <t>Miguel Solá</t>
  </si>
  <si>
    <t>rcelona en la de Gaspar. Aritmética teórico-práctica y mercantil, dispuesta5en forma de diálogo por D. Miguel Solá, Director y decano del Colegio Real Académico de primera educación de Barcelona, para enseñarla en todas las escuelas de dicha ciudad y Principado, en conformidad á lo dispuesto p</t>
  </si>
  <si>
    <t>Solana, Antonio</t>
  </si>
  <si>
    <t>Antonio Solana</t>
  </si>
  <si>
    <t>media, que este dexa, D. Antonio Pascual Bayot, y nombrado para la otra media, que este obtenía, á D. Antonio Solana. En consideración á los méritos y servicios de D. Josef Freixas y de Fals , vecino de la villa de Villanueva y Geltru, Corregimiento de Tarragona, en el Principado de Cataluña, se</t>
  </si>
  <si>
    <t>Solano de Luque, Francisco</t>
  </si>
  <si>
    <t>Francisco Solano de Luque</t>
  </si>
  <si>
    <t>asedios y combates. Su precio el juego 175 rs» ■en pasta- .í &lt; ■ Observaciones sobre el pulso, por D. Francisco Solano de Luque: segunda edi-r oion en 4.0, £ 1.9 rs. en pasta* .* ■ Censo EspañolysexecuíadO eii el año de 1787 : un tomo-en folio í 46 rs. en rúi¿ tica holandesa. Se hallarán- ¿n el' despacho d</t>
  </si>
  <si>
    <t>Solano, Ramón</t>
  </si>
  <si>
    <t>Ramón Solano</t>
  </si>
  <si>
    <t>n Francisco Galan , D. Joaquín Valenzuela y D. Sebastian Vico; y en el de Extremadura á los Cadetes D. Ramón Solano y D. Manuel María Travesi. En el regimiento de infantería de Voluntarios de Castilla se ha dignado S. M. conceder Tenencia al Subteniente de granaderos D. Jacobo Quixano; y en los de</t>
  </si>
  <si>
    <t>Solans, Ignacio</t>
  </si>
  <si>
    <t>Ignacio Solans</t>
  </si>
  <si>
    <t>s Subtenientes D. Heraciio Aiaiz y D. Eugenio Delgado; y Subtenencia de bandera al Sargento primero D. Ignacio Solans: y en el de Málaga Subtenencia de bandera al Cadete D. Ignacio de Aguilar y Ozes. E11 el Regimiento Suizo deTraxler ha promovido S.M. á Capitán primero al de granaderos D. Josef B</t>
  </si>
  <si>
    <t>Soldevilla, Juan Bautista</t>
  </si>
  <si>
    <t>Juan Bautista Soldevilla</t>
  </si>
  <si>
    <t>s enfermedades y sus progresos; en cuya conseqiiencia hizo citar á los referidos dos profesores y á D. Juan Bautista Soldevilla, y ew compañía de ellos y dei Sr. Marques de las Hormazas, Teniente de Hermano mayor de los mismos hospitales, pasó á examinarlos y reconocerlos, y á todos sus enfermos, estancias</t>
  </si>
  <si>
    <t>Soldevilla, Tomás</t>
  </si>
  <si>
    <t>Tomás Soldevilla</t>
  </si>
  <si>
    <t>D. Andrés, A rango, Subtenientes de los de Güadalaxara, Princesa , Valencia , Navarra y Granada ; á D. Tomas Soldevilla , Teniente del provincial de Avila ; á los Cadetes de Reales Guardias de infantería Española D. Patricio Bayon, D. Nicolás Sedaño y D. Francisco Cortés; como á los de la propia cl</t>
  </si>
  <si>
    <t>s Beneficios simples de S. Martín de Bombón y Melgainures, en dicha Diócesis de Zamora, que obtenia D. Tomas Soldevilla , y han vacado por habe§ abrazado la carrera militar, á D. Josef de Casaviella, concediéndole permiso para que pueda impetrar de la Sta; Sede la correspondiente dispensa de menor</t>
  </si>
  <si>
    <t>Soleda, Francisco</t>
  </si>
  <si>
    <t>Francisco Soleda</t>
  </si>
  <si>
    <t>............ 141-25 Francisco Soleda.................. Almendro........................ 141-25 Manuel Uñero.......... Dos barrios................... . 141-25 "Vicente de Castro..........</t>
  </si>
  <si>
    <t>Soler, Francisco</t>
  </si>
  <si>
    <t>Francisco Soler</t>
  </si>
  <si>
    <t>vido nombrar para la Canongía, que en la Sta. Iglesia de Segovía ha resultado vacante por muerté de D. Francisco Soler, á D. Antonio Segura, Capellán del Regimiento de caballería de Calatrava, en consideración á sus servicios, y conforme al Reglamento de 30 dé Enero último. S. M. se ha servido nom</t>
  </si>
  <si>
    <t>Soler, Gaspar</t>
  </si>
  <si>
    <t>Gaspar Soler</t>
  </si>
  <si>
    <t>encontrado, lo entregará en esta corte, carrera de S. Gerónimo, núm. 2 , quarto principal, casa de Don Gaspar Soler. En la Subdelegacion general de bienes mostrencos, vacantes y abintestatos se denunciaron 25,843 rs. 18 mrs., en concepto de corresponder á los herederos ignorados de D. Felipe de</t>
  </si>
  <si>
    <t>Soler, Joaquín</t>
  </si>
  <si>
    <t>Joaquín Soler</t>
  </si>
  <si>
    <t>........... r D. Tuan Miran................................ t D. Pedro Pastor y su criada........ 2 D, Joaquín Soler............................ 1 La viuda deD. Gregorio Campos. 1 Teresa Porceil....................... 1 Lorenza Perez...^............................ 1 Doña Trinitaria Ferrer......</t>
  </si>
  <si>
    <t>Soler, Ramón</t>
  </si>
  <si>
    <t>Ramón Soler</t>
  </si>
  <si>
    <t>l'giosas de la Visitación de Ntra. Sra. de Madrid, vacante por jubilación de D. Diego Albarrilla, á D. Ramón Soler; y para la Presramera de la villa de Albacete, vacante por.promocion de D. Felipe Ventura González al Deanato déla de Córdoba, á D. Juan Garusiani. En el regimiento de infantería</t>
  </si>
  <si>
    <t>Solís, Alonso</t>
  </si>
  <si>
    <t>Alonso Solís</t>
  </si>
  <si>
    <t>aldasano, D. Josef Leyva, D. Rafael Rodríguez Guerra,,0O. llamón Ortiz Canelas, D. Joaquín de Mora, D. Alonso Solís, X&gt;. Jjunan Robredo, D. Josef Luyando, D. Joaquín de Arce y D. Francisco Perez de Grandallana. A Tenientes de Fragata ¿h Alféreces de Navio D. Rafael de Luna, que era graduado;, I</t>
  </si>
  <si>
    <t>Solís, Antonio</t>
  </si>
  <si>
    <t>Antonio Solís</t>
  </si>
  <si>
    <t>lo: sale ilustrado y adicionado con el examen del estilo de nuestros mejores prosadores castellanos D. Antonio Solís, D. í&gt;iego Saavedra, Fr. Luis de León, Fr. Luis de Granada, el P. Mariana y elDr. Bartolomé Leonardo de Argensola; y asimismo con el célebre tratado del Sublimé por Longino, y un</t>
  </si>
  <si>
    <t>Solís, Francisco</t>
  </si>
  <si>
    <t>Francisco Solís</t>
  </si>
  <si>
    <t>María Saavedra, D. Miguel Montemayor, D. Antonio Ausejo, D. Martin de Mendoza, D. Felipe Ibargiien, D. Francisco Solís, D. Josef Pasalagua, D. Diego de Aguirre, D. Vicente Climent, D. Juan Albornoz, D. Joaquin de Toledo, D. Joaquin Leones, D. Julián Leones, D. Pedro Rato Cisneros, D. Justo Salafra</t>
  </si>
  <si>
    <t>Solis, Juan</t>
  </si>
  <si>
    <t>Juan Solis</t>
  </si>
  <si>
    <t>te D. Juan Estor ¿ á Ayudante al Teniente D. Antonio Soto ; á Teniente ai Subteniente de granaderos D. Juan Solis, y á Subteniente de granaderos al de fusileros D. Antonio Espejo. Asimismo S, M. se ha servido conferir el empleo de Teniente Coronel del Regimiento de Dragones Provinciales de Me</t>
  </si>
  <si>
    <t>Somavilla, Andrés</t>
  </si>
  <si>
    <t>Andrés Somavilla</t>
  </si>
  <si>
    <t>la Colegial de S. Quirce , en el Arzobispado de Burgos, vacante por muerte de D. Juan de Tejada , á D. Andrés Somavilla , Operario de las Misiones en el Colegio conciliar de S. Miguel de la ciudad de Orihuela: para otra Canongía de la misma Colegial, vacante por promoción de D. Tomas González de It</t>
  </si>
  <si>
    <t>Somerset, Carlos (lord)</t>
  </si>
  <si>
    <t>Lord Carlos Somerset</t>
  </si>
  <si>
    <t>Camden para el departamento de la Guerra; y el Lord Thynne, Contralor de la Casa Real, en lugar del Lord Carlos Somerset. Duró el consejo hasta las 7 de la tarde, y después del qual S. M. dio audiencia i Mr. Pitt. FRANCIA. Parts 4 de Junio. Ayer presentó S. A. S. el Archi-Canciller del Imperio, á ha</t>
  </si>
  <si>
    <t>Sommers, Capitán</t>
  </si>
  <si>
    <t>Capitán Sommers</t>
  </si>
  <si>
    <t>no han perdido un solo hombre. El Bey ha solicitado hacer paces. __ Entre los muertos se cuentan el Capitán Sommers, y los TenientesDecatur, VVadworth y Dursey.</t>
  </si>
  <si>
    <t>Somoza, Ramón Diego</t>
  </si>
  <si>
    <t>Ramón Diego Somoza</t>
  </si>
  <si>
    <t>sy se ha servido nombrar .para una Canongía de la catedral de Mondoñedovacante por fallecimiento de D. Ramón Diego Somoza, á D. Manuel Fernandez de la Fuente, Capitán retirado de infantería: para el Arcipresíazgo de la villa de Becerril de Campos, en la diócesis de Patencia, por muerte de D. Antonio</t>
  </si>
  <si>
    <t>Soret, General</t>
  </si>
  <si>
    <t>General Soret</t>
  </si>
  <si>
    <t>Concluido el discurso del Presidente, se procedió á nombrar los Vice-Presidentes y Secretarios. El General Soret reunió la mayoridad absoluta de los votos , y fué proclamado uno de los VicePresidentes, suspendiéndose hasta la junta siguiente la elección de los demás., ESPAÑA'. ; ' ? Granada</t>
  </si>
  <si>
    <t>Soriano, Joaquín</t>
  </si>
  <si>
    <t>Joaquín Soriano</t>
  </si>
  <si>
    <t>nombrar para el Beneficio de la parroquial de Pina , diócesis de Segorve, vacante por promoción de D. Joaquín Soriano á otro de la de Xerica, del mismo obispado, á D. Francisco Martin: para otro de la villa de Constanti, diócesis de Tarragona, vacante por fallecimiento de D. Josef Cerda, á D. Ant</t>
  </si>
  <si>
    <t>Soro Vil’anueva, Francisco</t>
  </si>
  <si>
    <t>Francisco Soro Vil’anueva</t>
  </si>
  <si>
    <t>nuel, del Consejo de S. M., y Alcalde de su Real casa y corte, como Juez que conoce del concurso de D. Francisco Soro Vil’anueva, se les cite y emplace por medio de la gazeta, sin perjuicio de hacerlo también por edictos en esta corte , para que como interesados y acreedores del dicho Soro por sus respectiv</t>
  </si>
  <si>
    <t>Soroa y Soroá, Santiago</t>
  </si>
  <si>
    <t>Santiago Soroa y Soroá</t>
  </si>
  <si>
    <t>y D. Sébastiáiír:Bufler y Henriquez, D. Francisco Ris.tori y Medina, D. Luis Liniers y Menibielle, Don Santiago Soroa y Soroá, D* Carlos Vaicárcel y RosiqueyD. Juan Carranza y Vivero , D. Juan Torrontegui Fernandez de Landá , rD. Ambrosio Cerdan y Encalada, . D.*Juan Balzola y AlciSar, D, Manuel Gutiérre</t>
  </si>
  <si>
    <t>Sosa, Pedro</t>
  </si>
  <si>
    <t>Pedro Sosa</t>
  </si>
  <si>
    <t>niente Coronel, D. Gerónimo Rengel: Tenencias en el de Extremadura a los Subtenientes de granaderos D. Pedro Sosa, D. Juan de Zafra y D. Josef Romero ; y Subtenencias de bandera en los de la Reyna, Corona, Ordenes Militares y Voluntario de la Corona á los Sargentos primerosD. Antonio Guzman,D</t>
  </si>
  <si>
    <t>Sótelo, Joseph</t>
  </si>
  <si>
    <t>Joseph Sótelo</t>
  </si>
  <si>
    <t>El Rey ha nombrado Conductor del Real cuerpo de Artillería en el quarto. regimiento de la Corana á D. Joseph Sótelo, Sargento primero1 distinguido del propio regimiento. Eii América. S. M. Se ha dignado nombrar Ayudante mayor de la plaza de Buenos-Ayres á D. Joseph Gregorio Belgrano, Capitán de</t>
  </si>
  <si>
    <t>Soto, Antonio</t>
  </si>
  <si>
    <t>Antonio Soto</t>
  </si>
  <si>
    <t>arEspaña se ha servido el Rey promover á Capitán ?1 Ayudante D. Juan Estor ¿ á Ayudante al Teniente D. Antonio Soto ; á Teniente ai Subteniente de granaderos D. Juan Solis, y á Subteniente de granaderos al de fusileros D. Antonio Espejo. Asimismo S, M. se ha servido conferir el empleo de Tenien</t>
  </si>
  <si>
    <t>Soule, Juan</t>
  </si>
  <si>
    <t>Juan Soule</t>
  </si>
  <si>
    <t>de 7 de este mes lo que sigue: ,, Enterado ei Rey de lo expuesto por V. S. con motivo de solicitar D. Juan Soule el abono de prendo por la extracción de 1® cueros á tíamburgo, acreditada con certificación del Cónsul de S. M., que la da del desembarco, no,.por conocimiento propio, sino por rela</t>
  </si>
  <si>
    <t>Soult, General</t>
  </si>
  <si>
    <t>General Soult</t>
  </si>
  <si>
    <t>es para conseguir su restitución, han sido infructuosas hasta el día. (Clef.) Boloña 21 de Mayo. El General Soult, Comandante en gefe de la guardia del gobierno y del campamento de Saínt-Omer, ha hablado á los soldados que tiene á sus órdenes en estos términos: ,,Soldados, Napoleón Bonaparte</t>
  </si>
  <si>
    <t>Sovarow, General</t>
  </si>
  <si>
    <t>General Sovarow</t>
  </si>
  <si>
    <t>eyel; y el minuete y marcha de Tipoo-Saib, para el mismo instrumento: y para guitarra la marcha del General Sovarow; y el minuete de la corte y su gabota. Se hallan generalmente jotras varias obras para tocar y cantar al forte-piano y guitarra. EN LA IMPRENTA REAL. ^</t>
  </si>
  <si>
    <t>Spartal, Ramón Máximo</t>
  </si>
  <si>
    <t>Ramón Máximo Spartal</t>
  </si>
  <si>
    <t>de S. Felipe, á 3 rs. Viages del Capitán Lemuel Gulliver á diversos países remotos, traducidos por D. Ramón Máximo Spartal*. tres tomos en 8.° con láminas: su precio 36 rs. en rústica. Se hallará en las librerías de Campo y de Barco: en Sevilla en la de Berardi Blanchard: en Valencia en la de Mallen:</t>
  </si>
  <si>
    <t>Spencer Smith</t>
  </si>
  <si>
    <t>vuelve á hablar de Mr. Drake , y expone las miras y provectos que parece tenia.; y luego atribuye á Mr. Spencer Smith las turbulencias que agitan de nuevo ai cantón de Zurich, y para creerlo así dice que tiene razones muy poderosas.__ ,,La diplomacia inglesa (dice) se compone de dos especies de agent</t>
  </si>
  <si>
    <t>to á tomar la isla de Gorea después de haberla ocupado el enemigo durante tres semanas. Se cree que Mr. Spencer Smith se restituirá muy pronto de Stuttgard á Inglaterra, pues en la disposición en que ahora se halla el gobierno írances, es mas que dudoso que su residencia allí no perjudicase á su</t>
  </si>
  <si>
    <t>ara nuestro Soberano, y mañana llegará el General d’Armfeidt. Dias hace que se halla en esta ciudad Mr. Spencer Smith, que pasa á Gothemburgo, donde se embarcará para Inglaterra. También se halla aquí el Ministro Ingles Mr. de Pierrepoint; y muchos dias come á La mesa de SS. MM. Suecas. No cesan</t>
  </si>
  <si>
    <t>Conde de Ponthieu , acompañado del Caballero Puysegur y el Abad de la Till. En el mismo buque venia Mr. Spencer Smith. SUIZA. Serna 2g de Noviembre. El Consejo mayor del Cantón del Tessino ha ratificado el reglamento militar federal, con la restricción de que no estando en servicio activo el Esta</t>
  </si>
  <si>
    <t>Spencer-Smith</t>
  </si>
  <si>
    <t>último que montó el Gran Federico. Augsburgo $ de Mayo. En varias cartas de Inspruck se refiere que Mr. Spencer-Smith ha llegado á Trieste, en donde se embarcará para Malta. En el mar Adriático cruzará este verano una flotilla austríaca, á fin de hacer respetar el pabellón imperial. Francfort $ d</t>
  </si>
  <si>
    <t>Spínola, Francisco</t>
  </si>
  <si>
    <t>Francisco Spínola</t>
  </si>
  <si>
    <t>JflosefSuarez , D. Pedro del Barco, D. Pedro Nuñez, D. Manuel Kcdriggn§^&lt;» D. Juan Josef Murrieta, Don Francisco Spínola, D. Juan Ulloa., D. M-sariin Oarrichena , D. Manuel Bacaro, D. Antonio Bovadilla, D. Migu«i(li Martínez, D. Luis Lasqueti,Don Juan Latre, D. Tomas Urrecha, D: R.jmon Moyua, D. Ram</t>
  </si>
  <si>
    <t>Spiridion Jorge Teotochi, Conde</t>
  </si>
  <si>
    <t>Conde Spiridion Jorge Teotochi</t>
  </si>
  <si>
    <t>.° de Diciembre de tSo'Z. En la noche deí 23 al 24 de Noviembre falleció, á los 84 anos de edad, el Conde Spiridion Jorge Teotochi, caballero Gran Cruz y Comendador de la orden de S. Juan de Jerusalen, y Príncipe Presidente dé la República de las Siete-Islas. Todos los cultos han manifastado el general apreci</t>
  </si>
  <si>
    <t>Sprengporten, General</t>
  </si>
  <si>
    <t>General Sprengporten</t>
  </si>
  <si>
    <t>TES 14 DE AGOSTO DE 1S04. TURQUIA. Constantinomia 15 de Junio. La esquadra rusa , que traxo aquí ai General Sprengporten , no ha podido hacerse á la vela á causa de los vientos contrarios, la qual ha tenido ademas que reparar los daños que experimentó, por una tempestad violenta, en el mar de Marmor</t>
  </si>
  <si>
    <t>a en el dia en abrir caminos reales para la comunicación interna dél pais.. Aun no habla llegado el General Sprengporten con un refuerzo de tropas quando saliéron estos buques de Corfú. S. M. el Emperador de Alemania ha declarado á Venecia puerto franco , y le ha concedido todos los privilegios de q</t>
  </si>
  <si>
    <t>St, Coronel</t>
  </si>
  <si>
    <t>Coronel St</t>
  </si>
  <si>
    <t>exército se portó con gran valor, y se distinguiéron entre otros los Generales St. John y Ware. El Coronel St. Leger, que mandaba la caballería, ha merecido los elogios del General en gefe. Se ignora la pérdida qué padeció el exército en esta ocasión. Dos oficiales muriéron del ardor, del</t>
  </si>
  <si>
    <t>St, General</t>
  </si>
  <si>
    <t>General St</t>
  </si>
  <si>
    <t>operación ofensiva. Hasta ahora son 12© los Franceses que van marchando á reforzar el exército dei General St. Cir; y pronto saldrán otros 8®. GRAN BRETAÑA. Londres 10 de Octubre. En la Gazeta de la Corte, del 6, se ha publicado el oficio del Lord Keith, á bordo del Monarca, a la vista de</t>
  </si>
  <si>
    <t>Sta, Francisco</t>
  </si>
  <si>
    <t>Francisco Sta</t>
  </si>
  <si>
    <t>leros de los de Sígiienza, Ciudad-Rodrigo, Granada y Cuenca á los Subtenientes D. Fernando Barbaza, D. Francisco Sta. Cruz, D. Blas de Pinar y D. Miguel de Córdoba: á Subtenientes de granaderos de los de Badajoz y Lorca, á los de fusileros D. Francisco Mercado y D. Josef Genant; y á Subteniente</t>
  </si>
  <si>
    <t>Sta, Princesa</t>
  </si>
  <si>
    <t>Princesa Sta</t>
  </si>
  <si>
    <t>Compendio de la vida de la Princesa Sta. Casilda, abogada contra la enfermedad de'íluxo de sangre, caídas, esterilidad , precipicios y otros accidentes, con §u novena y gozos: un tomito en 8.° á 6 rs. en pasta y 4 en pa</t>
  </si>
  <si>
    <t>Stadion, Felipe</t>
  </si>
  <si>
    <t>Felipe Stadion</t>
  </si>
  <si>
    <t>ida de Petersburgo se anuncia en da' Gazeta de la Corte , se leen ios nombres-del Conde del Imperio Mr. Felipe Stadion, y de Mr. Lilieur de Viüesurancé, Sub-comisario de Relaciones comerciales de Francia*. En Dinamarca se ha prohibido á los Judíos enterrar á sus muertos hasta 3 días despties de su</t>
  </si>
  <si>
    <t>Stanhope</t>
  </si>
  <si>
    <t>r uno de los medios mas deshonrosos y vergonzosos al Parlamento.” El Presidente censuro vivamente á Mr. Stanhope; y Mr. Jekyll pidió que lo que había dicho se pusiese por escrito, para servir de fundamento á los procedimientos parlamentarios contra él. ,,Mr. Stanhope (dixo el Presidente) sir</t>
  </si>
  <si>
    <t>Ste, General</t>
  </si>
  <si>
    <t>General Ste</t>
  </si>
  <si>
    <t>ntinuación ae las operaciones contra el Rajah de Berar. La división del exército, á las órdenes del General Ste</t>
  </si>
  <si>
    <t>Stéeger, Antonio</t>
  </si>
  <si>
    <t>Antonio Stéeger</t>
  </si>
  <si>
    <t>Subtenencia al Cadete D. Josef Antonio Gramaren: en el de Redirig el empleo de Ayudante al Teniente D. Antonio Stéeger; y Subtenencias á los Cafdetes D. Carlos Gretuer, D. Aloysio Jutz y D. Baltasar Nuderist. El Rey se ha dignado conceder honores de Ministro del Tribunal de la Contaduría mayor de</t>
  </si>
  <si>
    <t>Stevenson, Coronel</t>
  </si>
  <si>
    <t>Coronel Stevenson</t>
  </si>
  <si>
    <t>el 2 3 de Setiembre. El 28 dei mismo, mes el General Wellesley, después de unírsele la división del Coronel Stevenson, compuesta de las fuerzas auxiliares del Nízam, se puso en seguimiento del enemigo , el qual continuó precipitadamente su retirada hacia las estrechuras inmediatas.__ La batalla d</t>
  </si>
  <si>
    <t>con las tropas, baxo sus órdenes inmediatas, y las auxiliares del Soubah del Dekan, mandadas por el Coronel Stevenson, Derrotólos completamente, tomándoles 38 cañones, todas sus municiones, muchos elefantes, camellos, caballos, armas y bagajes, y matándoles 1® hombres en el campo de batalla, adem</t>
  </si>
  <si>
    <t>0 hombres: en Allahabad 5500, á las órdenes del General Wellesley, y los auxiliares mandados por el Coronel Stevenson 16,823: en Ilyderabad 1917: en Poonah 1098: en Moodgul 4032: tropas acampadas en el Guzarate 4280: guarniciones en aquel país y en Surate 3071: en la invasión de la provincia de C</t>
  </si>
  <si>
    <t>Stockar</t>
  </si>
  <si>
    <t>a Suiza alemana. Uno de los Ministros helvéticos en el congreso de Schafusa, el ciud. Stockar, mieraloro del Consejo menor del Cantón de Schafusa, llegó inopinadamente á Berna, é informó de oíicio al Land-Amman, que el Preboste mayor imperial del condad</t>
  </si>
  <si>
    <t>Story</t>
  </si>
  <si>
    <t>el gobierna acceda a la solicitud de Francia. : r : : &gt; • \s-:&gt; Una de nuestras gazetas anuncia qué Mr. Story, antiguo Comandanta de la esquadra Bátava, y que hace mucho tiempo estaba custodiado por dos Gendarmes en la ciudad de Gleyesr, Lia;sido puesto en libertad. Se asegura que va á in</t>
  </si>
  <si>
    <t>Stratton</t>
  </si>
  <si>
    <t>ID DEL VIERNES 13 DE ABRIL DE 1804. TURQUIA'. Constantinopía jo de Enero. El Ministro de Inglaterra Mr. Stratton ha presentado estos dias pasados una nota de oñcio al ministerio otomano, en la que S. M. británica participa á la Puerta haber, negado á Elfy Bey la audiencia qjue solicitó á su</t>
  </si>
  <si>
    <t>Stuart</t>
  </si>
  <si>
    <t>te que las diferencias entre Austria y Baviera se terminen todas en la Dieta general del Imperio. • Mr. Stuart, Encargado de Negocios de S. M. Británica, ha recibido un correo dé su corte, por el qual se sabe que el gobierno ingles ha prevenido de nuevo á todos sus cónsules y agentes de co</t>
  </si>
  <si>
    <t>Stulz, Francisco Antonio</t>
  </si>
  <si>
    <t>Francisco Antonio Stulz</t>
  </si>
  <si>
    <t>a. El Rey ha conferido la Capitanía de granaderos en el Regimiento de infantería Suizo de Traxler á D. Francisco Antonio Stulz, Capitán segundo del mismo; y la Tenencia del de Courten al Subteniente de granaderos D. Pedro Botta. En América. El Rey se ha servido nombrar para el Deanato de la Iglesia Metrop</t>
  </si>
  <si>
    <t>Suárez de Arango, Juan Francisco</t>
  </si>
  <si>
    <t>Juan Francisco Suárez de Arango</t>
  </si>
  <si>
    <t>Chicheri: en el de Toledo á D. Blas Muñoz de Toro y D. Angel Montes y Ordoñez : en el de Mallorca á D. Juan Francisco Suarez de Arango y D. Juan Wenceslao Henriquez: en el de León á D. Manuel Rodríguez Bonell: en el de Irlanda á D. Francisco Obregon y á D. Joaquín Rodríguez de Are llano: en el de Cantabria á D. Josef</t>
  </si>
  <si>
    <t>Suárez, Fernando</t>
  </si>
  <si>
    <t>Fernando Suárez</t>
  </si>
  <si>
    <t>l: á Alférez en el de la Reyna á D. Ramón Collantes;á Portaestandartes en ei mismo Cuerpo al Cadete D. Fernando Suarez, y al Sargento primero D. Josef Aranda: á- Alférezen el de Calatrava á D. Juan Vazquez; y á Portaestandarte al Sargento primero D. Josef Carbellido. En los de caballería ligera se</t>
  </si>
  <si>
    <t>Suárez, Francisco</t>
  </si>
  <si>
    <t>Francisco Suárez</t>
  </si>
  <si>
    <t>respondiente Real despacho á ii Justicia del Puerto de Sta. María, de donde fué natural el referido D. Francisco Suarez, en 28 de Enero de 1798 , citando a los interesados para que acudiesen á usar de su derecho al percibo del líquido de 1900 pesos, depositados en caxa, ocurriéron Doña Rita, Doña J</t>
  </si>
  <si>
    <t>Suárez, Juan</t>
  </si>
  <si>
    <t>Juan Suárez</t>
  </si>
  <si>
    <t>ta, Doña Josefa, Doña Ana y Doña María Rosa Anguiano, vecinas de la ciudad de Cádiz, como nietas de Don Juan Suarez, uno de los 5 herederos del testador; y como no han comparecido Jos de lds otros 4 hermanos, nombrados D. Cristóbal, D. Eugenio, Doña Rosa María y D oña Francisca Eustaquia, apare</t>
  </si>
  <si>
    <t>Suárez, Miguel Gerónimo</t>
  </si>
  <si>
    <t>Miguel Gerónimo Suárez</t>
  </si>
  <si>
    <t>ristiano, ó motivos de la confianza en Dios: traducción de la. obra francesa del Abate Roisard, por D. Miguel Gerónimo Suarez: 2 tomos en 8.% á 20 rs. en pasta común, y 26 ios finos. Exeréício quotidiano del cristiano, por D. Josef Rigual: un tomo en 12.% á 4 rs. en pasta. Contiene una preparación y Jfia</t>
  </si>
  <si>
    <t>Subero, Francisco</t>
  </si>
  <si>
    <t>Francisco Subero</t>
  </si>
  <si>
    <t>el Rey Teniente de la Compañía de Artilleros inválidos de Pamplona aí Subteniente de la de Almería D. Francisco Subero; y Guarda-Almacén extraordinario de los efectos de artillería del Real Sitio de Aranjuez á D. Gabriel Martin de Segovia. El Rey se ha servido nombrar á p. Juan Francisco Gascón pa</t>
  </si>
  <si>
    <t>Suzzo, Príncipe</t>
  </si>
  <si>
    <t>Príncipe Suzzo</t>
  </si>
  <si>
    <t>GAZETA DE MADRID DEL MARTES 5 DE JUNIO DE 1804. TURQUIA. Constantinopla 30 de Marzo. El Príncipe Suzzo, antiguo Hospodar de Valaquia, ha denunciado al Gran Señor el Hospodar actual Príncipe Ipsilanti, suponiéndole de inteligencia con ciertas potencias con quienes mantenía correspon</t>
  </si>
  <si>
    <t>Svetchin, General</t>
  </si>
  <si>
    <t>General Svetchin</t>
  </si>
  <si>
    <t>to cori servirse del término, nuevo en palacio, de reconocimiento, por el zelo que ha acreditado el General Svetchin, á quien S. M. I. escribe directamente, le encarga manifieste.igualmente sus sentimientos de gratitud á los subalternos que le han ayudado en el importante servicio de aprovisiona</t>
  </si>
  <si>
    <t>Swabedissen</t>
  </si>
  <si>
    <t>as impaciente curiosidad.__ La Sociedad Real de Copenhague ha con-* cedido la gran medalla de oro á Mr. Swabedissen, profesor de filosofía1 enHanau, en premio de un discurso en que satisface á la pregunta:' „¿qué progresas ha hecho la filosofía desde Aristóteles hasta nosotros,, en el examen de</t>
  </si>
  <si>
    <t>Tablo Espinach</t>
  </si>
  <si>
    <t>Antonio de Viliagrasa; y para un Beneficio de la metropolitana de Tarragona, vacante por muerte de D. Tablo Espinach, á D. Josef Pujol y Palmer ola. Ei Rey se ha servido conceder en los regimientos de infantería de</t>
  </si>
  <si>
    <t>Tafalla, Juan</t>
  </si>
  <si>
    <t>Juan Tafalla</t>
  </si>
  <si>
    <t>tas, que con fecha del 6 de Enero y 21 de Febrero de 1804, dirigió al Rey nuestro Señor el botánico D. Juan Tafalla, por mano del Presidente de Quito, para aumento de la Flora Peruviana y Chilense, que de orden de S. M. van publicando aquellos botánicos. En estas nuevas remesas se hallan con di</t>
  </si>
  <si>
    <t>Tagle Íi, Francisco</t>
  </si>
  <si>
    <t>Francisco Tagle Íi</t>
  </si>
  <si>
    <t>lvet: para otra Ración de la colegial de Sar. tillaría , ó ce5is de Santander, por fallecimiento de D. Francisco Tagle Íi*.:yLarnaute, á D. Ignacio Sainz de la Peña, Cura Párroco del í■sgar de Vargas, en la misma diócesis: para el Préstamo del lugar de Cianame de bayago, diócesis de Zamora, vacante p</t>
  </si>
  <si>
    <t>Taiches de la Pugerie</t>
  </si>
  <si>
    <t>te. A Mr. Lagrange, para Canciller de la 10 cohorte; y á Mr. Dezazars, para Tesorero de la misma&lt; A Mr. Taiches de la Pugerie, antiguo caballero de S. Luis, para Canciller de la 15 cohorte; y para Tesorero de la misma á Mr. de Fontenay. Los comisarios encargados de continuar las excavaciones en el parage</t>
  </si>
  <si>
    <t>Talasac, Juan Pedro</t>
  </si>
  <si>
    <t>Juan Pedro Talasac</t>
  </si>
  <si>
    <t>Pastor. En la Gazeta núm. 88, de 2 del corriente, pág-‘977&gt; lín. 14, dice Don Pedro'E/ilsac.j léase D. Juan Pedro Talasac. Igualmente en la del núm. 89, pág. 99© , lín. 30, dice D. Antonio Vatere , léase 2&gt;. Andrés Antonio komero y Valdes. Oficio de la Semana Santa y Semana de Pascua en castellano, y</t>
  </si>
  <si>
    <t>Talledo, Vicente</t>
  </si>
  <si>
    <t>Vicente Talledo</t>
  </si>
  <si>
    <t>ervido el Rey romover á Tenientes Coroneles á los Sargentos mayores de brigada Don Ígnacio Mascaró, D. Vicente Talledo, D. Ildefonso Aragón, y D. V¡</t>
  </si>
  <si>
    <t>Talleyrand</t>
  </si>
  <si>
    <t>o la respuesta que el Barón de Ehrensward, Ministro de S. M. Sueca en Francia, ció á la circular de Mr. Talleyrand; y está firmada el 25 de Marzo. Dice que ,,ha recibido dicha circular relativa á la conspiración tramada por Mr. Drake, y que la envía inmediatamente á su corte ; y entre tanto pu</t>
  </si>
  <si>
    <t>Imperio llegó á esta capital el 21 del corriente: hasta ahora está alojado en la casa particular de Mr. Talleyrand, Ministro de Relaciones exteriores. ESPAÑA. León 7 de Diciembre. El Cura Párroco de Valdecobos, distante una legua de esta ciudad, ha presentado al limo. Sr. D. Pedro Luis Blanco,</t>
  </si>
  <si>
    <t>Tallien</t>
  </si>
  <si>
    <t>blevados Servios han enviado 4 Diputados á Petersburgo á pedir el auxilio y protección de la Rusia. Mr. Tallien ha sido nombrado Comisario de comercio de Francia en Alicante. Se aguarda á S. S. en León el 25 de Noviembre. El itinerario desde esta ciudad á París será como sigue: el 26 á S. G</t>
  </si>
  <si>
    <t>Talón y Jalón, Joaquín</t>
  </si>
  <si>
    <t>Joaquín Talón y Jalón</t>
  </si>
  <si>
    <t>al armada á los Caballeros Guardias; Marinas siguientes, En Ia. fecha. D. Mateo.Albornoz y Calafat, D. Joaquín Talón y Jalón , D. Gabriel Pazos y Mella, D. Alvaro'Rodríguez de Cela, Di Joaquín Bocalan y Vázquez , D. Juan (üródóy y Castró1; D.áNicolastdel Rio Nogúerido, D. Tomas Cisca r y Orióla y D. Séb</t>
  </si>
  <si>
    <t>Talsac, Pedro</t>
  </si>
  <si>
    <t>Pedro Talsac</t>
  </si>
  <si>
    <t>yor del Gobierno de la villa de Infantes á D. Luis Vicente Montañés: para la de la villa de Uclés á D. Pedro Talsac: para la de Villahermosa á D. Pedro Pascual García Barona: para la de la Mota del Cuervo á D. Josef Antonio Martin Palomino, todas en el territorio de la Orden de Santiago, de pri</t>
  </si>
  <si>
    <t>Tandy</t>
  </si>
  <si>
    <t>á sus buenos y largos servicios- ú la Co mpañía , que Su quebrantada salud no le permite continuar. Mr. Tandy , hijo del General Napper-Tandy, muerto^ al servicio^ de Francia , que lia estado mucho tiempo preso por orden del Gobierno de Irlanda, ha sido puesto en libertad. El 16 de este m</t>
  </si>
  <si>
    <t>Tarrago, Pedro Pablo</t>
  </si>
  <si>
    <t>Pedro Pablo Tarrago</t>
  </si>
  <si>
    <t>an Norzagaray, este de granaderos: en el primer batallón de Voluntarios de Barcelona ai Subteniente D. Pedro Pablo Tarrago; y el empleo de Capitán segundo en el batallón de Voluntarios de Campomayor ai Teniente D. Francisco Casaus. Ei Rey se ha servido conferir en los Regimientos de infantería Suiza l</t>
  </si>
  <si>
    <t>Tarufo, Vicente</t>
  </si>
  <si>
    <t>Vicente Tarufo</t>
  </si>
  <si>
    <t>difuntos de .Buenos-Ayres testimonio de.-les autos-de. inventario,, formados. por fallecimiento de D. Vicente Tarufo/Capitán retirados que fué de dragones de laplana mayor de dicha-ciudad.., manifestando había m^dadq. registrar 230 doblones de oro de á 16 pesos en la fragata de guerra Ja Asunció</t>
  </si>
  <si>
    <t>ges acostumbrados, se hace notorio, á fin de que llegando á noticia de los herederos del mencionado D. Vicente Tarufo , acudan por la secretaría del Perú y lo Indiferente, con la debida justificación, en el término de un mes, á promover el cobro del líquido de los referidos 230 doblones de oro de</t>
  </si>
  <si>
    <t>Tavira, Antonio</t>
  </si>
  <si>
    <t>Antonio Tavira</t>
  </si>
  <si>
    <t>reconocer las grandes ruinas y vestigios que hay en dicho sitio, de población romana, el limo. Sr. D. Antonio Tavira, Obispo de Salamanca, que entonces se hallaba Prior de la Real casa de Santiago de Uclés, D. Bernardo Manuel de Cosío, Cura de esta parroquial, el referido D. Vicente, y el Lie. D</t>
  </si>
  <si>
    <t>Tayilerand</t>
  </si>
  <si>
    <t>nviados de París á Petersburgo , y la respuesta de la Corte de Rusia, entregada hace algunos dias á Mr. Tayilerand por el Encargado de Negocios Ruso Mr d’Oubril, quien se halla en Maguncia, producirán una reconciliación entre ambas Cortes. Y aun se añade que Mr. d’Oubril tendrá una audiencia p</t>
  </si>
  <si>
    <t>Tayiord</t>
  </si>
  <si>
    <t>a, el carbón, la seda, las indianas , y las telas de fábrica Inglesa pagarán un derecho de entrada. Mr. Tayiord, Enviado de Inglaterra cerca del Elector de Hesse, ha salido repentinamente de Cassel para volverse á Londres. GRAN BRETAÑA. Londres $ de Octubre. Escriben de Deal, que los buques</t>
  </si>
  <si>
    <t>Tayllerand</t>
  </si>
  <si>
    <t>co que ha hecho ha sido intervenir cerca del Divan en favor de las ciudades oprimidas. Aseguran que Mr. Tayllerand, ántes de su partida i Aquisgran, en</t>
  </si>
  <si>
    <t>en Francfort. Las cartas de dicha ciudad anuncian ser falso que Mr. d’Oubril haya conferenciado con Mr. Tayllerand; y aseguran, al contrario, que habia aguardado en M.♦juncia la noticia de la salida de Ru-ia del Encargado de Negocios dg Francia Mr. Rayneval, para pasar el Rhin. También añaden</t>
  </si>
  <si>
    <t>Taylor</t>
  </si>
  <si>
    <t>al Imperial, en que da cuenta de la corre1 .poncencia de los dos hermanos Daniel y Carlos Th mn con Mr. Taylor , Ministro Ingles cerca del Elector de Tíess-e , dirigida á hacer sublevar ios c$ departamentos reunidos y la República Bátava. Cárlos Thiun ha sido arrestado, y ha convenido en l</t>
  </si>
  <si>
    <t>Tejada y Otalora, Antonio</t>
  </si>
  <si>
    <t>Antonio Tejada y Otalora</t>
  </si>
  <si>
    <t>itanes segundos D. César González , D. Josef Andía, Don Joaquín Osma, graduado de Teniente Coronel, D. Antonio Tejada y Otalora y D. Joaquín Cáceres; á Capitanes segundos á los Tenientes Don Manuel del Pino, D. Felipe Luengo, D. Manuel Bequer , D. Josef Saravia y D. Joaquín Góngora, y á Tenientes á los Subteni</t>
  </si>
  <si>
    <t>Telesius</t>
  </si>
  <si>
    <t>ctubre, y confirman lo que antes se habia dicho de la terrible inundación acaecida en la Madera. El Dr. Telesius, que va en dicha expedición en calidad de naturalista, dice qué por estar ya muy avanzada la estación, no ha podido llegar hasta la cima del pico , estando ya mas déla mitad de aq</t>
  </si>
  <si>
    <t>y se repartirá á lo largo del; rio y en los países turcos últimamente conquistados. Las cartas del Dr. Telesius, naturalista de la expedición al rededor étel mundo , contienen noticias muy particulares de los descubrimiento» asombrosos que ha hecho en Santa Cruz de Tenerife. Cítase enere ot</t>
  </si>
  <si>
    <t>Tellez, Benito</t>
  </si>
  <si>
    <t>Benito Tellez</t>
  </si>
  <si>
    <t>María García Rodrigo, D. Leonardo Vidal, D. Gregorio González AzaoU, D. Gabriel Fernandez Tabeada, D. Benito Tellez deMeneses y D.Estéban Demetrio Brúñete, hagan en el Real Laboratorio de Química, establecido en la calle del Turco, os exercicios públicos relativos á dicho estudio, y prevenidos en</t>
  </si>
  <si>
    <t>Telmo Landero, Pedro</t>
  </si>
  <si>
    <t>Pedro Telmo Landero</t>
  </si>
  <si>
    <t>e por ascenso de Don Antonio Rodríguez de Cárdenas á plaza de Oidor de la Audiencia de Guatemala, á D. Pedro Telmo Landero, electo Asesor del Gobierno c Intendencia de Durango. El dia 9 de Mayo del corriente año, á los 83 cumplidos de edad, falleció en esta corte la Eterna. Sra. Doña Antonia Francisca</t>
  </si>
  <si>
    <t>Temple, Lord</t>
  </si>
  <si>
    <t>Lord Temple</t>
  </si>
  <si>
    <t>pueden ser peligrosas en las circunstancias presentes.__ Mr. Hawthorne es de la misma opinión___ El Lord Temple reconoce la necesidad de las providencias propuestas; pero cree que no hay inconveniente en mudar de sistema, observando que lía qiiestion mas importante, respecto de la Irlanda,</t>
  </si>
  <si>
    <t>Tena, Juan</t>
  </si>
  <si>
    <t>Juan Tena</t>
  </si>
  <si>
    <t>a; y Subtenencias en el mismo Cuerpo, en el del Rey y en el de la Princesa á los Sargentos primeros D. Juan Tena, D. Simón de Mareos y D. Vicente GH; y en los de la Reyna, Valencia y Murcia á los Cadetes D. Ramón Cota, D. Francisco Menor López, D. Ramón Llola&amp;bregat y D- Joaquín de Eguia, es</t>
  </si>
  <si>
    <t>Tena, Manuel</t>
  </si>
  <si>
    <t>Manuel Tena</t>
  </si>
  <si>
    <t>s Cadetes del regimiento de infantería de Zamora D. Tomas Bielsa, D. Cárlos Emilio, D. Pedro Gómez, D. Manuel Tena, D.Ignacio Ventura y D, AntonioNicolau,de todas las obligaciones señaladas en la ordenanza; de las evoluciones y manejo del arma, de la aritmética, geometría, trigonometría, forti</t>
  </si>
  <si>
    <t>Teniente, Lord</t>
  </si>
  <si>
    <t>Lord Teniente</t>
  </si>
  <si>
    <t>l Parlamento da Irlanda quando ai principio se propuso. La rebelión era entonces casi general, y el Lord Teniente había creído indispensable proclamar la ley marcial. Instruidas de los acaecimientos las dos. Cámaras del Parlamento, sanqionáron las providencias dadas por el Lord Teniente; y le</t>
  </si>
  <si>
    <t>rnición en Dublin; pero el orador juzga incompatible con los hechos tales aserciones, puesto que el Lord Teniente se hallaba aquel dia en su casa de campo: el primer magistrado, hallándose en la ciudad, no tuvo noticia de lo que pasaba hasta la tarde, las tropas de la guarnición no tenían mas</t>
  </si>
  <si>
    <t>advertida, y pronta la fuerza armada, como lo acredita el mismo resultado de la insurrección; y el Lord Teniente hizo muy bien en ir como acostumbraba á su casa de campo, después de haber tomado las precauciones convenientes. Pero nada de esto piensa el noble Chanciller, que debe actualmente</t>
  </si>
  <si>
    <t>Teodoro de Aímeyda</t>
  </si>
  <si>
    <t>á á 2 rsl en el despacho de la imprenta Real. Recreación filosófica, escrita en portugués por el P. D. Teodoro de Aímeyda, y traducida al castellano: tercera edición. Esta obra, producción de uno de los mas felices Ingenios del siglo próximo pasado , es sin contradicción ninguna la única qué se haya</t>
  </si>
  <si>
    <t>Teodoro de Almeyda</t>
  </si>
  <si>
    <t>en la Santísima Virgen, ó estímulos de amor y.devoción á Ja Madre de Dios nuestra Señora: por el P. D. Teodoro de Almeyda.rcrGemidos de la Madre de Dios afligida, y consuelo de sus devotos, con diferentes obsequios ofrecidos á la misma Señora considerada en sus dolores y angustias: por el mismo P. D.</t>
  </si>
  <si>
    <t>Teodosio de Herrera</t>
  </si>
  <si>
    <t>según las rú-* tricas del misal Romano, con otros tratados pertenecientes al culto divino: su autor D. Teodosio de Herrera : un tomo en 8 Todas las obras de Publio Virgilio Marón , ilustradas con varias interpretaciones y notas puestas en latín y castellano por D. Gregorio Hernández de Velasco, 5 tomo</t>
  </si>
  <si>
    <t>Teotochi, Príncipe</t>
  </si>
  <si>
    <t>Príncipe Teotochi</t>
  </si>
  <si>
    <t>nerosidad y afecto de S. M. I. la familia de los Condes de Teotochis. Pobo después de la muerte del Príncipe Teotochi, llegó aquí de Petersbürgo una caxa con el retrato déi Emperador, ricamente guarnecido de brillantes, que S. M. regalaba í dicho Príncipe. Enterado S. M. I. del fallecimiento de e</t>
  </si>
  <si>
    <t>Téran, Joaquín</t>
  </si>
  <si>
    <t>Joaquín Téran</t>
  </si>
  <si>
    <t>e Voluntarios de Castilla , y á Subtenientes de granaderos á los de fusileros D. Sebastian Pizarro, D. Joaquín Téran y D; Víctores Navajas* Enterado el Rey por la suprema junta de Sanidad , desque se hallan' plenamente comprobados; todos los datos y presupuestos que requieren las leyes y reglas de s</t>
  </si>
  <si>
    <t>Ternas Laurez de Mayran, Juan</t>
  </si>
  <si>
    <t>Juan Ternas Laurez de Mayran</t>
  </si>
  <si>
    <t>ugación, con la traducción en francés de las frases usuales castellanas en un orden alfabético, por D. Juan Ternas Laurez de Mayran , Catedrático de lengua francesa en la Real Academia de caballeros Cadetes del regimiento de Reales Guardias Españolas: 2.a edición: un volumen en 4.0 Habiendo sido acogida del pú</t>
  </si>
  <si>
    <t>Testa</t>
  </si>
  <si>
    <t>República. Ha dado á cada catedrático una banda negra, recamada de verde, y ai ciud. Testa, como Rector de la universi¿* dad, un collar de oro. Ha concurrido á este acto un numeroso concurso de toda clase d¿ gentes. Trieste 8 de Noviembre. i-. Hace p</t>
  </si>
  <si>
    <t>Thibaido</t>
  </si>
  <si>
    <t>rdinario del Rey de Suecia. Viena $ de Octubre. Para el 12 del corriente se aguardan aquí á SS. MM. Mr. Thibaido, Encargado de Negocios de la Puerta en esta Corte, ha recibido un correo extraordinario de la Legación Turca en París, que no ha tardado mas que 7 dias en su viage, y ha continuad</t>
  </si>
  <si>
    <t>Thornbo, Almirante</t>
  </si>
  <si>
    <t>Almirante Thornbo</t>
  </si>
  <si>
    <t>ltimos desastres, en que hemos perdido 324 hombres. Una carta escrita de la división mandada por el Almirante Thornbo.rough delante del Texel, con fecha del 16 del pasado, dice que la esquadra bátava hace grandes preparativos, obligada de los franceses. Sus fuerzas se componen de 4 navios de líne</t>
  </si>
  <si>
    <t>Thornborough, Almirante</t>
  </si>
  <si>
    <t>Almirante Thornborough</t>
  </si>
  <si>
    <t>elante del Texel, que hacia mas de 8 dias que se esperaba que el enemigo se hiciese al mar; pues el Almirante Thornborough habia sabido por un navio Americano , que iba del Texel á Cádiz, que estos preparativos no tenían mas objeto que el de exercitar las tripula-, ciones. Las cartas de Plimouíh anunc</t>
  </si>
  <si>
    <t>Thornton</t>
  </si>
  <si>
    <t>cerca de la República Francesa, el General Armstrong, de Nueva-Yorck, ha sido nombrado su sucesor. Mr. Thornton, Secretario de la Legación Británica, ha salido de Washington par^ restituirse á su patria-----Son infinitas y contradictorias las noticias á ¿p16 dado lugar la venida de los navi</t>
  </si>
  <si>
    <t>Thynne, Lord</t>
  </si>
  <si>
    <t>Lord Thynne</t>
  </si>
  <si>
    <t>de Estado para negocios de lo interior: el Conde de Camden para el departamento de la Guerra; y el Lord Thynne, Contralor de la Casa Real, en lugar del Lord Carlos Somerset. Duró el consejo hasta las 7 de la tarde, y después del qual S. M. dio audiencia i Mr. Pitt. FRANCIA. Parts 4 de Juni</t>
  </si>
  <si>
    <t>Tiburcio de Torres</t>
  </si>
  <si>
    <t>mover á Sargento mayor del regimiento de infantería de Aragón al Capitán de Voluntarios de Castilla D. Tiburcio de Torres: á Tenientes en los de la Princesa y Ordenes Militares á los Subtenientes D. Francisco ¿apena., D. Claudio Vinuesa y D. Juan Lu</t>
  </si>
  <si>
    <t>Tiburcio del Barrio</t>
  </si>
  <si>
    <t>una plaza del Consejo Real, vacante por fallecimiento del Timo. .Sr. Marques de la Hinojosa, al Sr. Don Tiburcio del Barrio: para la Regencia; del Consejo de Navarra que esie dexa á D. Fernando Melgarejo de los Cameros , Oidor del mismo Consejo: para esta plaza al Alcalde de aquella Corte D., Marcos Ló</t>
  </si>
  <si>
    <t>Tiburcio Sineo</t>
  </si>
  <si>
    <t>préstamo de Villanueva de Odra, en la propia diócesis , vacante pór muerte del mismo Salamanca , á D. Tiburcio Sineo; y para los de Sta. María de Bardóles y PradicMa de Allende, en el obispado de Oviedo, á D. Manuel Claudio Carrascosa. En el regimiento de caballería de Alcántara, séptimo de líne</t>
  </si>
  <si>
    <t>Tierney</t>
  </si>
  <si>
    <t>aria nada por tentar para el logro de sus intentos.”__.Concluyo proponiendo su primera propuesta. i Mr. Tierney se maravilla de que el vocal que acaba de hablar no alegue ningún hecho que motivo sus diferentes observaciones, y se contente solo con manifestar su opinión particular centra la</t>
  </si>
  <si>
    <t>Tiller Foich de Cardona y Joaquina de Paredes, Vicente</t>
  </si>
  <si>
    <t>Vicente Tiller Foich de Cardona y Joaquina de Paredes</t>
  </si>
  <si>
    <t>esta villa, y escribanía del número de D. Juan Antonio de Urraza, á instancia de los acreedores de D. Vicente Tiller Foich de Cardona y Doña Joaquina de Paredes su muger, se está subastando una huerta perteneciente á la Doña Joaquina (conocida con el nombre de Alguacil mayor), sita en la inmediación del canal de Manzanares, con casa dentr</t>
  </si>
  <si>
    <t>Tiller Folch de Cardona, Vicente</t>
  </si>
  <si>
    <t>Vicente Tiller Folch de Cardona</t>
  </si>
  <si>
    <t>llado , del Consejo de S. M., Teniente Corregidor de esta villa, y á instancia de los acreedores de D. Vicente Tiller Folch de Cardona, y Dona Joaquina Paredes, su muger, vecinos de esta corte , para pago de sus respectivos créditos, se ha mandado sacar a publica subasta una huerta, perteneciente á la Doña Joaqui</t>
  </si>
  <si>
    <t>Timins, Capitán</t>
  </si>
  <si>
    <t>Capitán Timins</t>
  </si>
  <si>
    <t>se le han señalado 2® guineas, y ademas una pieza de vaxilla de plata del valor de 200 guineas. Al Capitán Timins 1® guineas, y una pieza de plata de 100. Los demas Capitanes recibirán cada uno 500 guineas y una pieza de plata de 100. Las cantidades, que se repartirán entre los demas individu</t>
  </si>
  <si>
    <t>Timoteo de Brea</t>
  </si>
  <si>
    <t>de los Hoyos en el obispado de Coria, que se halla vacante por muerte de D. Juan Bautista Serra, á D. Timoteo de Brea, Acólito de la Real capilla, parroquia de S. Antonio de la Florida: para los Beneficios simples de Oranca y Selorio, en la diócesis de Oviedo, á D. Quintín de Subiranas, con dimis</t>
  </si>
  <si>
    <t>Tiorati, Carlos</t>
  </si>
  <si>
    <t>Carlos Tiorati</t>
  </si>
  <si>
    <t>anaderos D. Pedro Galiano, y al Cadete D. Hilarión Rodríguez: en el de Hibernia al Sargento primero D. Carlos Tiorati: en el de América al Cadete D. Manuel Xuarez Negron; y en el de Voluntarios de Estado al Cadete del de Reales Guardias Españolas D. Cayetano María de Espino y Real. A D. Joaquín O</t>
  </si>
  <si>
    <t>Toda, Félix</t>
  </si>
  <si>
    <t>Félix Toda</t>
  </si>
  <si>
    <t>en Segovia. El Rey se ha servido nombrar Subtenientes del Real Cuerpo de Ingenieros del exército á D. Félix Toda, D. Gerónimo Valladares y.Don Agustín Bueno, Teniente y Subtenientes del regimiento de infantería de Mallorca; á D. Antonio Hurtado, D. Josef Navarro, D. Francisco Ruarte, D. Migu</t>
  </si>
  <si>
    <t>Tofiño, Vicente</t>
  </si>
  <si>
    <t>Vicente Tofiño</t>
  </si>
  <si>
    <t>Supl., p. 8</t>
  </si>
  <si>
    <t>ta de España en el Océano para inteligencia y uso de las cartas construidas por el Gefe ae Esquadra D. Vicente Tofiño: un tomo en tafilete...................... 66. 4$. Idem en pasta................... ........ ........................ 26. 16. Idem a la holandesa..................................</t>
  </si>
  <si>
    <t>Toíiño, Vicente</t>
  </si>
  <si>
    <t>Vicente Toíiño</t>
  </si>
  <si>
    <t>paña. ca. Rs. de Rs. de velJon. pita. £ Atlas marítimo de España, trabajado por ei Gefe de esquadra D. Vicente Toíiño:un tomo en pasta................................................ 620. 330. El mismo Atlas á la holandesa........................ 590. 314* Colección de cartas de las costas de Esp</t>
  </si>
  <si>
    <t>Toledo, Antonio</t>
  </si>
  <si>
    <t>Antonio Toledo</t>
  </si>
  <si>
    <t>........... 141..25 Antonio Toledo............................................................. 141. •2S Henrique García.................. hugena............................ 141..25 7 * DEL 1°</t>
  </si>
  <si>
    <t>Tomaos de da Madrid</t>
  </si>
  <si>
    <t>ngo é hijo mayor, , Én Zamora........ j). Vicente ,Perez ,de Tejada/ . '&gt; i ' ? En Zaragoza........ D. Tomaos de da Madrid* &gt; En Zeuta.............. í). Pedro Huguet, comisionado subalterno del «de . .Cádiz. •. •. . Desde i,°&lt;del próximo Diciembre se. recibirán en la Tesorería: mayor ye^.las de Exérci</t>
  </si>
  <si>
    <t>Tomasi, Pedro</t>
  </si>
  <si>
    <t>Pedro Tomasi</t>
  </si>
  <si>
    <t>isma que se observó en los terremotos del año pasado. Nueva y completa gramática italiana, su autor D. Pedro Tomasi: un tomo en 4.0, á 19 rs. en pasta. Grametica hebraica completa ex iis, quae á Doct. Petro Guarino, aliisque au,ctoribus prodierunt, extracta, atque clara, facilique methodo ad pe</t>
  </si>
  <si>
    <t>Tomé, Manuel</t>
  </si>
  <si>
    <t>Manuel Tomé</t>
  </si>
  <si>
    <t>-. pleo á los Capitanes primeros D. Francisco Mendizaval y D. Pablo Ordobas: para Capitán primero á D. Manuel Tomé, Capitán segundo; y para este al Teniente D. Manuel Caballero. Igualmente ha nombrado S. M. para un empleo de Alférez en el regimiento de caballería de Calatrava , décimo de línea</t>
  </si>
  <si>
    <t>Tommasi</t>
  </si>
  <si>
    <t>podrá también poner sobre las sepulturas de los parientes ó amigos losas sepulcrales con epitafios. Mr. Tommasi, célebre químico de Ñapóles, ha añadido algunos descubrimientos á la ciencia médica: ha calculado que en el pan, y en las demas viandas con que se alimenta el hombre, entra una ce</t>
  </si>
  <si>
    <t>Toñareli, Juan</t>
  </si>
  <si>
    <t>Juan Toñareli</t>
  </si>
  <si>
    <t>Subtenientes de granaderos de los propios cuerpos D. Juan Toñareli, D. Josef Albarenga y D. Lope Ortiz. En el Real cuerpo de Artillería se ha servido S. M. promover á Teniente Coronel del primer regimiento á D. Josef Andrés, Sargento mayor del te</t>
  </si>
  <si>
    <t>Topete, Francisco</t>
  </si>
  <si>
    <t>Francisco Topete</t>
  </si>
  <si>
    <t>o Allende, D. Antonio Valcárcel, D. Antonio Díaz de Córdoba , D. Salvador Clavijo, D. Josef Julián, D. Francisco Topete, D. Manuel del Castillo, D. Vicente María Saavedra, D. Miguel Montemayor, D. Antonio Ausejo, D. Martin de Mendoza, D. Felipe Ibargiien, D. Francisco Solís, D. Josef Pasalagua, D.</t>
  </si>
  <si>
    <t>Toribio de Montes</t>
  </si>
  <si>
    <t>a plaza de Manila ; y á Gobernador y Capitán general de la isla de Puerto-Rico ai Mariscal de Campo D. Toribio de Montes. Por Escribanía de Cámara y de Gobierno del Consejo Real se ha comunicado con fecha de 14 de Abril la circular siguiente: Habiéndose suscitado varias dudas en razón de si debía 6</t>
  </si>
  <si>
    <t>Toribio Fernández Cosío</t>
  </si>
  <si>
    <t>rcia, Extremadura, Voluntarios de la Corona y Ñapóles á los Cadetes Don Josef Fernandez de Escovar, D. Toribio Fernandez Cosío , D. Mar-*</t>
  </si>
  <si>
    <t>Toribio Salcedo</t>
  </si>
  <si>
    <t>squella y Monserrat, D. Jayme Fabregues y Santander , D. Antonio de Mella, D. Juan Novoa y Gayoso , D. Toribio Salcedo, D Francisco García Fiorez , D. Tomas Cervino, D, Josef Muller, D. Francisco Viana y Achucarro, D. Antonio Doral y Anuncibay. El Rey se ha servido nombrar Auditor de Guerra del ex</t>
  </si>
  <si>
    <t>Toribio Sánchez</t>
  </si>
  <si>
    <t>movido S. M. á Cadete de número al Supernumerario D. Fernando Butrón; y á Supernumerario al Guardia D. Toribio Sánchez. Los tenedores de Vales-dinero de la Tesorería de Consolidación, de la creación de i.° de Enero, los presentarán en la misma Tesorería para su renovación, ó percibir su importe en</t>
  </si>
  <si>
    <t>Tormo y Pont, Vicente</t>
  </si>
  <si>
    <t>Vicente Tormo y Pont</t>
  </si>
  <si>
    <t>lzón.azul turquí, cuello de paño carmesí, y chupa de color de caña.. ESPAÑA. Granada 6" de Octubre. D. Vicente Tormo y Pont, Corregidor de las villas deBerja, Dalias y Adra, pueblos de la Alpujarra, casi arruinados, por los terremotos, es-téañbi,ha dado parte alExcmo. Sr.-D. Tomas de Moría, Capitán gen</t>
  </si>
  <si>
    <t>Tornero, Félix</t>
  </si>
  <si>
    <t>Félix Tornero</t>
  </si>
  <si>
    <t>§20 ESPAÑA. Cartagena 20 de Agosto. Don Félix Tornero, uno de los Maestros de primeras letras de esta ciudad, deseoso de acreditar su constante zelo en la instrucción de sus discípulos, con el correspondiente permiso del Sr. Marques</t>
  </si>
  <si>
    <t>Torqtíato Antonio Collado</t>
  </si>
  <si>
    <t>dos desde la publicación de este aviso, comparezcan por sí, ó por procurador, en el juzgado del Sr. D. Torqtíato Antonio Collado, del Consejo de S. M., Teniente Corregidqr de est.a villa,, por la esef ibánía del número de 0. Diego Benigno González , á legitimar sus .ere-, ditos, prevenidos que pasado dicho</t>
  </si>
  <si>
    <t>Torquato Antonio Collada</t>
  </si>
  <si>
    <t>en dinero 6 valet aunque no cubran el todo de la tasa. Con Real facultad y por providencia del Sr. D. Torquato Antonio Collada* Teniente Corregidor de e&amp;ta villa, se ha mandado sacar á pública subasta una cas* sita en la calle de la Madera * núm. 11 ,manz. 304, comprehensiva de 7373! pie# de sitio quadrad</t>
  </si>
  <si>
    <t>Torquato Antonio Colladb</t>
  </si>
  <si>
    <t>Calatra va, se han señalado 30 dias, que terminarán en 2 de Abril próximo. Bor providencia del Sr, D. Torquato Antonio Colladb, Teniente Corregidor de esta villa, se ha mandado sacar á pública subasta por 15 dias, contados desde el 3 de Marzo, una casa en la calle de Bueña-vista, barrios de S. Lorenzo, nú</t>
  </si>
  <si>
    <t>Torquato Antonio Collado</t>
  </si>
  <si>
    <t>las puertas de la audiencia de dicho Sr. Juez de doce á una de la mañana. = En la audiencia del Sr. D. Torquato Antonio Collado, Teniente Corregidor de esta misma villa, anre el propio Escribano, se ha señalado el dia 16 de este mes de doce á una de Ja mañana para el remate de una casa, sita en Ja calle de</t>
  </si>
  <si>
    <t>ntecedente Real orden, ha acordado su cumplimiento , y que se comuniqúe &amp;c. Por providencia del Sr. D. Torquato Antonio Collado, Teniente Corregidor de esta villa, se han mandado sacar á pública subasta por 30 días dos solares, situados en la calle de Zurita, baxo los números 17 y 18 , manz. 21 , que tiene</t>
  </si>
  <si>
    <t>presente. A voluntad de su poseedor , en virtud de Real orden, y conseqíiente á providencia del Sr. D. Torquato Antonio Collado, caballero de la Real y distinguida orden española de Carlos ni, del Consejo de S. M. y Teniente Corregidor de esta villa , se han mandado sacar á pública subasta diferentes tierr</t>
  </si>
  <si>
    <t>En la parte literaria: noticia del tratado de economía política, escrito en francés por Say. El Sr. D. Torquato Antonio Collado,caballero de la Real y distinguida órden española de Cárlos m, del Consejo de S. M., Teniente Corregidor de esta villa, ha señalado para celebrar una junta de acreedores á la test</t>
  </si>
  <si>
    <t>eparado al tiempo del remate por e l-mas valor que hasta entonces puedan adquirir. Por auto del Sr. D. Torquato Antonio Collado, del Consejo de S. M., caballero “dé 'I a orden cté Carlos 1 ji, T éñ ientérCorr eg ido r de esta, villa, "Juez comisiona do por el Consejo pata entéfidér (éít la qdiehra de D. Ma</t>
  </si>
  <si>
    <t>y pauandb el 4 por roo por vía de .intereses. La persona qué quiera hacer mejora acuda ante el Sr. D. Torquato Antonio Collado, Teniente Corregidor de esta villa, y por la escribanía del número de D. Gervasio. Fernanda Izquierdo, en el térriiíno de 30 di^s 9 'contados desde el dia de Abril ultimo &gt; con pr</t>
  </si>
  <si>
    <t>es á esta fecha, comparezca por sí, ó por medio del Procurador , con poder suficiente , ante el Sr. D. Torquato Antonio Collado, del Consejo de S. M., Teniente de Corregidor de esta misma villa, y por la escribanía de su número , del cargo de D. Juan Antonio de Urraza, á presentar las escrituras de Imposic</t>
  </si>
  <si>
    <t>dia 6 de Junio próximo á las 11 de su mañana en dicha escribanía. En virtud de providencia del Sr. D. Torquato Antonio Collado, del Consejo de S. M., Teniente Corregidor de esta villa, refrendada de D. Antonio Fernandez , Escribano de su número, se han vuelto á sacar á subasta por término de 15 dias las f</t>
  </si>
  <si>
    <t>xecutadas con posterioridad á las tasaciones. Quien quisiere hacer dichas mejoras acuda ante el Sr. D. Torquato Antonio Collado , Teniente Corregidor de esta villa, y escribanía del número de D. Jacobo Manuel Manrique. En conseqiiencia del aviso que se dio al público por la gazeta de Madrid, del dia 20 de</t>
  </si>
  <si>
    <t>misma Subdelegacion general, sita en la casa Dirección general de correos. Por providencias del Sr. D. Torquato Antonio Collado, caballero de la Real y distinguida orden española de Cárlos m, del Consejo de S. M., Teniente Corregidor de esta villa, se ha mandado sacar á pública subasta una casa, sita en la</t>
  </si>
  <si>
    <t>no haciéndolo Ies parará el perjuicio que haya lugar. . n , , , r • , c ,, Por providencia del Sr. D. Torquato Antonio Collado , del Consejo de S. M., Teniente Corregidor de esta villa, y á instancia de los acreedores de D. Vicente Tiller Folch de Cardona, y Dona Joaquina Paredes, su muger, vecinos de est</t>
  </si>
  <si>
    <t>n que parezca pretendiente alguno, les parará el perjuicio que haya lugar. Por la audiencia del Sr. D. Torquato Antonio Collado, del Consejo de S. M., Teniente Corregidor de esta villa, y escribanía del número de D. Antonio Fernandez, se ha sacado á subasta una casa, sita en la calle de S. Bernabé, núm. 5,</t>
  </si>
  <si>
    <t>s Preciados , núiii. 2 , quaxto principal ; y en Barcelona eñ la de los. miamos interesados. Él Sr. D. Torquato Antonio Collado , Teniente Corre gidejr de esta vílía , J¿a señalado el dia 11 deteste ines, de doce á una, en las puertas; de su audiencia , para 1 . * ' ' 1 ____ •* __ „ jJi„. tí:».___ •« _ ' _</t>
  </si>
  <si>
    <t>«■■■' ■■ ■■ 1 1 ... ........... ' - - ■ ■■ , *...........................' Por providencia del Sr. D. Torquato Antonio Collado, Caballero de la Reat y distinguida orden Española de Carlos 111, del Consejo de S. M., Teniente Corregidor de esta villa, y escribanía de numero de D. Juan López Fando, y que act</t>
  </si>
  <si>
    <t>cadí'u'ni de por sí acuda á executarlo en los términos asignados. Por providencia del referido Sr. D. Torquato Antonio Collado, y escribanía de número de D. Gervasio Fernandez Izquierdo, se cita llama y emplaza a los acreedores de Manuel Ibañez, vecino que fue del lugar de Ge,afe, para que dentro de 50 di</t>
  </si>
  <si>
    <t>smo camino, de 5 fan., ro cel., en 4666 rs. 22 mrs. Quien quisiere hacer postura, acuda ante el Sr. D. Torquato Antonio Collado, Teniente Corregidor de esta villa, por la escribanía de su número, que exerce D. Juan de Répide. Por la audiencia del Sr. D. Torquato Antonio Collado, Caballero de la Real y dist</t>
  </si>
  <si>
    <t>19 rs. en pasta. Se hallarán en el despacho de la imprenta Real. En virtud de providencias del Sr. D. Torquato Antonio Collado, del Conseja de S. M., Teniente Corregidor de esta villa, se han mandado sacar á pública subasta, por término de 1 5 días, señalando el último para su remate á las puertas de su a</t>
  </si>
  <si>
    <t>se admitirán las posturas que se hicieren, y manifestarán sus condiciones. Por providencia dtl Sr. D. Torquato Antonio Collado, del Consejo de S. M., Teniente Corregidor de esta villa, se cita, llama y emplaza á los acreedores de D. Pedro Sobrado, residente en ella , para que en el término de 9 dias, cont</t>
  </si>
  <si>
    <t>s se proratearán entre las referidas 5 casas, con arreglo á sus tasaciones. Por providencia del Sr. D. Torquato Antonio Collado, del Consejo de S. M., Ten iente Corregidor de esta villa, se cita, llama y emplaza á todos los acreedoresr de Alateo Martínez, vecino que fué de esta corte, y tratante en tocino</t>
  </si>
  <si>
    <t>te, acudan en el perentorio término de 15 días, por sí ó procurador con poder bastante, ante el Sr. D. Torquato Antonio Collado, del Consejo de S. M., Teniente Corregidor de esta villa, y escribanía de número de D. Tomas de'. Sancha y Prado , con la respectiva justificación, á entregarse de varios bienes y</t>
  </si>
  <si>
    <t>ocederá en los autos á proveer conforme á derecho, y les parará el perjuicio que haya lugar. El Sr. D. Torquato Antonio Collado, Teniente Corregidor de esta villa, ha señalado el dia 16 del corriente, á las ocho y media de su mañana, en la posada de S. S. para que concurran á ella á una junta los acreedore</t>
  </si>
  <si>
    <t>Torquató Antonio Collado</t>
  </si>
  <si>
    <t>e y escribanía en el término de 30 dias contados desde el 15 del corriente. Por providencia del Sr. D. Torquató Antonio Collado, del Consejó de S. M., Teniente Corregidor de esta villa, se ha mandado sacar á pública Subasta , por término de 30 días contados desde el 15 del presente, una casa sita «n la cál</t>
  </si>
  <si>
    <t>Toledo, por el mismo Heydeck, á 9 rs. en rústica. Se hallarán en el despacho de: la Imprenta Real. D. Torquato Antonio Collado, del Consejo de S. M., Teniente Corregidor de' esta villa , hace saber que en su juzgado y escribanía numeraria de D. Jacobo Manuel Manrique está radicada la testamentaría de D. C</t>
  </si>
  <si>
    <t>el Sr. Gobernador de dicho Real Sitio por la escribanía de gobierno de él. Por providencia del Sr. D. Torquato Antonio Collado, Teniente Corregidor de esta villa, se ha mandado sacar á publica subasta, por término de 30 dias contados desde el i8 de este mes, una casa en la calle del Candil, que vuelve á l</t>
  </si>
  <si>
    <t>a de S. S., y ante D. Ramón de Milla Cuellar, Escribano del número de ella. Por providencia del Sr. D. Torquato Antonio Collado, del Consejo de S. M., Teniente Corregidor de esta villa, se ha mandado sacar nuevamente á pública subasta, por término de 15 dias, señalando el último para el remate, que será el</t>
  </si>
  <si>
    <t>s. á metálico. Quien quisiere hacer postura a todas, ó cada una de dichas fincas, acuda ante el Sr. D. Torquato Antonio Collado, del Consejo de S. M., Teniente Corregidor de esta villa, y escribanía numeraria de D. Ramón de Milla Cuellar. Habiéndose publicado para la mejora del quarto la casa sita en las c</t>
  </si>
  <si>
    <t>mbre próximo, de doce á una de su mañana, á las puertas de la audiencia del Sr. Teniente Corregidor D. Torquato Antonio Collado, por ante el Escribano dei número Don Claudio Sanz. Teniendo que tratar cierto asunto de importancia con la viuda de D. Antoni# Noreña y Espinosa, Cónsul que fué en la isla de la</t>
  </si>
  <si>
    <t>señalado el d¡a 17 del presente, de doce á una de su mañana, á las puertas de la audiencia del Sr. D. Torquato Antonio Collado, Teniente Corregidor de esta villa, y ante el Escribano de su número D. CJaud io Sanz. zzz Por el mismo Sr. Teniente, y escribanía del numeró^de D, Ramón de Milla Cuellar, se ha s</t>
  </si>
  <si>
    <t>Torquato Antonio'Collado</t>
  </si>
  <si>
    <t>de Valladares, que se admitirán las que se hagan, no siendo manos muertas. Por providencia del Sr. D. Torquato Antonio'Collado, del Consejo de S. M. Teniente Corregidor de esta villa, se ha mandado sacar nuevamente á pública subasta, por término de 15 dias, señalando el ultimo para el remate, que será el</t>
  </si>
  <si>
    <t>Torqúato Antonio-Collado</t>
  </si>
  <si>
    <t>e cita, llama y emplaza á las interesadas para que en el término de 30 diá* comparezcan ante el Sr, D. Torqúato Antonio-Collado; del Consejo de S. M. , Te* ¿liénte Corregidor de esta villa ; y escribanía del número dé D; Tomas de Sancha y Prado, á legitimar su'persona, con-tal que pasado el término sin hab</t>
  </si>
  <si>
    <t>Torquato Torio</t>
  </si>
  <si>
    <t>mios, que fuéron la Historia de España en 9 tomos , Comentarios de Julio César, traducidos, Arte de D. Torquato Torio, y 2 exemplares de la obra de Gil Blas de Santillana, todos en pasta, á D. Ramón Guizaburuaga, D. Manuel Pedro Marañon, Pedro Battho , natural de Burdeos , D. Julián de Alderete ,</t>
  </si>
  <si>
    <t>Torquato Torio de la Riva</t>
  </si>
  <si>
    <t>ia de Santiago , de manifestar por medio de unos certámenes las ventajas del método de enseñanza de Don Torquato Torio de la Riva, mandado establecer y observar de orden de S. M. en todas las escuelas, del reyno, solicitó y obtuvo-permiso de Don* Domingo. Antonio Poladura, Regidor perpetuo y Alcalde mas anti</t>
  </si>
  <si>
    <t>las contribuciones que pagan los pudientes, con la obligación de enseñar por el arte de escribir de D. Torquato Torio de la Riva, como está mandado por S. M:, y por las demas., reglas prescritas- por la junta de estudios , sin exigir;estipendió alguno á los pobres; y. debiendo proveerse 3 de dichas escuelas</t>
  </si>
  <si>
    <t>Torquato Torio Se la Riba</t>
  </si>
  <si>
    <t>ales son doctrina cristiana, caligrafía, ortografía y gramática castellana: todo según el método de D. Torquato Torio Se la Riba, sobre cuyos puntos les interrogó el Maestro, y satisfaciéron con general aceptación de los circunstantes; después de lo qual suplicó el Maestro ai concurso que se les hiciesen la</t>
  </si>
  <si>
    <t>Torre, Miguel</t>
  </si>
  <si>
    <t>Miguel Torre</t>
  </si>
  <si>
    <t>...... 141..25 Miguel Torre........................ Embid........................ '..... I4i-2 5 Josef Martínez......... Azara..... ....................... . 141-25 Manuel Cano...............</t>
  </si>
  <si>
    <t>Torre, Ramón</t>
  </si>
  <si>
    <t>Ramón Torre</t>
  </si>
  <si>
    <t>vadilla, D. Migu«i(li Martínez, D. Luis Lasqueti,Don Juan Latre, D. Tomas Urrecha, D: R.jmon Moyua, D. Ramón Torre, D. Manuel Berna!, D. Antonio Mañeáis D.Joaquín Elgueta, D. Francisco Sarachaga, D. Josef García Joves, ÍD- Miguel Valdasano, D. Josef Leyva, D. Rafael Rodríguez Guerra,,0O. llamó</t>
  </si>
  <si>
    <t>Torreho, Manuel</t>
  </si>
  <si>
    <t>Manuel Torreho</t>
  </si>
  <si>
    <t>: para el Beneficio préstamo de Villatoquite, en el obispa4í&gt;;d#'León, vacante por fallecimiento de D. Manuel Torreho, á D. Luis Aguado Perez y Cura párroco, de S. Pedro de aquella ciudad : para ei Beneficio {simple servidero de la parroquia de S. Esteban de la ciudad de ]? j &amp;s en c i a,; vaca n</t>
  </si>
  <si>
    <t>Torres Cónsul, Manuel Vicente</t>
  </si>
  <si>
    <t>Manuel Vicente Torres Cónsul</t>
  </si>
  <si>
    <t>sé han mandado sacar í pública subasta, y por 30 dias de término, en virtud de providencia del Sr. D. Manuel Vicente Torres Cónsul, del Consejo de S. M., primer Teniente Corregidor de esta villa, ante el mismo Escribano, diferentes tierras-parrales, existentes en término del propio lugar de M^jaáahonda / y si</t>
  </si>
  <si>
    <t>Torres y Ainat, Juan</t>
  </si>
  <si>
    <t>Juan Torres y Ainat</t>
  </si>
  <si>
    <t>para otra de la Colegial de $. Juan de las Abadesas, Diócesi de Vique, Vacante por fallecimiento de D. Juan Torres y Ainat, á D. Valentín Torres y Amat; y para un Beneficio de la Parroquia de Alagón, Diócesi de Zaragoza&gt; vacante por muerte de Don Manuel Lope , á D. Josef Larraz y Morana. En América. P</t>
  </si>
  <si>
    <t>Torres, Manuel</t>
  </si>
  <si>
    <t>Manuel Torres</t>
  </si>
  <si>
    <t>gos al Brigadier D. Tomas Moreno, Teniente Coronel del de Soria; y Subtenencias en el de Mallorca á D. Manuel Torres y D. Manuel de Ortega, Sargento primero de granaderos y Cadete del mismo cuerpo, y á Don Santiago Otero, Cadete del fixo de la plaza de Ceuta. También se ha ser-1 vido promover á Teni</t>
  </si>
  <si>
    <t>Torres, Manuel Vicente</t>
  </si>
  <si>
    <t>Manuel Vicente Torres</t>
  </si>
  <si>
    <t>mayor y menor", y demas regalías que le per» tenecen, que se vende á virtud de providencia del Sr. D. Manuel Vicente Torres, del Consejo de S. M. , primer Teniente de Corregidor, y escribanía del número djj D. Cristóbal de Vicuña, el que se halla tasado en 18$) rs., acuda ante dicho Señor y escribanía</t>
  </si>
  <si>
    <t>5 29 Por providencia del Sr. D. Manuel Vicente Torres, del Consejo de S.M., Teniente Corregidor primero de esta villa, y escribanía del número de D. Ramón de Milla Cuellar, se ha señalado el viérnes 15 de Junio próximo, á las puertas</t>
  </si>
  <si>
    <t>óximo por la-de 467$, y de ellos los 2oS) á metálico. Quien quisiere hacer mejora acuda anté el Sr. D. Manuel Vicente Torres, Teniente Corregidor de esta villa, y escribanía numeraria de D. Ramón de Milla Cueliar. . _-.■■■ « A voluntad de su dueño se vende en la villa de Arganda una casa, sita eri la ca</t>
  </si>
  <si>
    <t>de 30 días, que principiaron á correr el 26 de Agosto. Por providencia de i.° del corriente del Sr. D. Manuel Vicente Torres, primer Teniente Corregidor, y escribanía del número de D. Ramón de Milla Cuellar, se ha señalado para el remate de la casa,plazuela de Matute,núm. 12 , manz. 224, perteneciente á</t>
  </si>
  <si>
    <t>Torrontegui Fernández de Landá, Juan</t>
  </si>
  <si>
    <t>Juan Torrontegui Fernández de Landá</t>
  </si>
  <si>
    <t>y Menibielle, Don Santiago Soroa y Soroá, D* Carlos Vaicárcel y RosiqueyD. Juan Carranza y Vivero , D. Juan Torrontegui Fernandez de Landá , rD. Ambrosio Cerdan y Encalada, . D.*Juan Balzola y AlciSar, D, Manuel Gutiérrez Caviedes, D^ Miguel:dejSoto, K’Jos.ef de la Serna, Juan Güimil, y Camaño, D. Francisco Juistinia</t>
  </si>
  <si>
    <t>Tosef Blanc</t>
  </si>
  <si>
    <t>o, a D. Josef Prats y Pelegn: para otra-Canongía de la colegial de Alean.*, diócesis de Zaragoza, a Don Tosef Blanc, Cura de Redueña, en el arzobispado de Toledo,-, para un Beneficio de la parroquia de' Figueras, diócesis de Gerona, vacante por muerte de D. Francisco Basedas, á D. Francisco Cal</t>
  </si>
  <si>
    <t>Toset de Viiehes, Gonzalo</t>
  </si>
  <si>
    <t>Gonzalo Toset de Viiehes</t>
  </si>
  <si>
    <t>nexo del Gobernador de la sala de Señores Alcaldes de casa v corte, obtiene en la actualidad el Sr. D. Gonzalo Toset de Viiehes, M inistro del Supremo Consejo de Castilla: nombró S. M. vocales de dicho cuerpo al Visitador, que es ó fuese de las escuelas Reales, cuyo empleo sirve en el día D. Juan Rubio, á</t>
  </si>
  <si>
    <t>Tosquella y Monserrat, Joaquín</t>
  </si>
  <si>
    <t>Joaquín Tosquella y Monserrat</t>
  </si>
  <si>
    <t>lcgria, Dgíi Antonio González de Socueva, D. Francesco Chacón y valle, D. Gerónimo Obregon y Villa, D. Joaquín Tosquella y Monserrat, D. Jayme Fabregues y Santander , D. Antonio de Mella, D. Juan Novoa y Gayoso , D. Toribio Salcedo, D Francisco García Fiorez , D. Tomas Cervino, D, Josef Muller, D. Francisco Via</t>
  </si>
  <si>
    <t>Tovar, Antonio</t>
  </si>
  <si>
    <t>Antonio Tovar</t>
  </si>
  <si>
    <t>granaderos D. Blas Alvarez; y Subtenencias de bandera en los de la Rey na y Navarra á líos Cadetes: D. Antonio Tovar , y D. Francisco-Andrés. En las Compañías fixas veteranas de Artillería de Canarias se ha servido S. M. conceder el empleo de-Capitán primero ai Capitán segundo, Ayudante mayor de</t>
  </si>
  <si>
    <t>Tóxar, Francisco</t>
  </si>
  <si>
    <t>Francisco Tóxar</t>
  </si>
  <si>
    <t>pañía , cálle dé las Carrétas, de Ramos y de Bateo, carrera de S. Gerónimo; en Salamanca en casa de D. Francisco Tóxar y librea ría de Blanco, en Barcelona en la de Piferrer , en Valencia en la de Mallen, en Granada en la de Martínez de Aguijar, en Sevilla en la de la viuda de Hidalgo y sobrino , en</t>
  </si>
  <si>
    <t>Traites</t>
  </si>
  <si>
    <t>onforme á las disposiciones de la acta de mediación, la iniciativa de las leyes. ¡Berna 5 de Enero, Mr. Traites, geómetra, profesor de matemáticas en esta ciudad, ha sido convidado por el Emperador de Rusia para ocupar la cátedra de matemáticas de la universidad de Wilna , con 5® rublos de</t>
  </si>
  <si>
    <t>Tranquebar</t>
  </si>
  <si>
    <t>......... ■"■ ■■ ■—»—- »■ GAZETA DE MADRID . . •&gt;&lt; DEL VIERNES 30 DE MARZO DE 1804. INDIA ORIENTAL. D Tranquebar 24 de Setiembre de 1803. El General Wellesley, que con un.exército considerable de europeos y de si^ayos, se había internado mucho en el país de losniáratas, se hx visto obligado</t>
  </si>
  <si>
    <t>Traveria, Manuel</t>
  </si>
  <si>
    <t>Manuel Traveria</t>
  </si>
  <si>
    <t>ar las cuerdas por medio de un círculo, y las del coro con el órgano, con otras cosas curiosas: por D. Manuel Traveria, Capellán que fué de S. M. en las Descalzas Reales de esta Corte: un tomo en 4.0 Se hallará en la librería de la viuda é hijo de Quiroga, calle de las Carretas. Tertulia indicativ</t>
  </si>
  <si>
    <t>artes 27 de Noviembre, en la pág. ro6o, en la obra Cantollano y figurado, que se publicó, tu, autor D. Manuel Traveria, debe ponerse JD. Daniel Traveria', Capellán que actualmente es en las Descalzas Reales* EN LA IMPRENTA REAL.</t>
  </si>
  <si>
    <t>Travers</t>
  </si>
  <si>
    <t>este útiL establecimiento ha producido en otros parages,y mas particularmente en la India. Mencionó Mr. Travers los nombres de ios subscriptores , excitando á los presentes á que contribuyesen con sus medios á aumentar y extender las miras de la Sociedad. Concluyó haciendo un gran elogio del Dr</t>
  </si>
  <si>
    <t>Traxler, Jorge</t>
  </si>
  <si>
    <t>Jorge Traxler</t>
  </si>
  <si>
    <t>ja ; y el empleo de Coronel del regimiento suizo de Yann -vacante al Coronel D. Jorge Traxler , Teniente Coronel del mismo cuerpo. En el Real cuerpo de Artillería se ha dignado S. M. promover á Coronel al Teniente Coronel D. Gregorio Rodríguez , graduado de Coronel ; y á Tenientes Co</t>
  </si>
  <si>
    <t>án de granaderos al Capitán segundo D. Antonio Chruten; á Subteniente de granaderos al de fusileros D. Jorge Traxler; y en el de Reding á Teniente al Subteniente de fusileros D. Bonifacio Jutz. En los Regimientos de caballería de línea se ha servido S. M. conferir Compañía en el de la Reyna al A</t>
  </si>
  <si>
    <t>Traxler, Remigio</t>
  </si>
  <si>
    <t>Remigio Traxler</t>
  </si>
  <si>
    <t>¿e Capitán primero en el de Traxler al de granaderos D. Gaspar !Caslin;el de Subteniente al Cadete D. Remigio Traxler : el de Capitán de granaderos en el de Betschart al Capitán segundo D. Félix llenrique Christen: el de Capitán de granaderos del de Courten al Capitán segundo D. Guillermo Lavalla</t>
  </si>
  <si>
    <t>Trechard</t>
  </si>
  <si>
    <t>an , ; por decirlo así, el estado de la eloqiiencia eclesiástica en Francia. El ciud. Trechard ha hecho en dias pasados la prueba de su invención, para socorrer pronta y eficazmente en caso de incendio á las personas que lo necesitaren, y facilitar que s</t>
  </si>
  <si>
    <t>Treii</t>
  </si>
  <si>
    <t>r la mencionada exposición. • Después entráron tres Consejeros de Estado, y el, ciud. Treii— .hard ^ que llevaba la voz , dixo que venia á presentar, el título i del libro 2 del código civil, déla distincioji de los bienes , pues asegurado con leyes s</t>
  </si>
  <si>
    <t>Trevejos, Luís</t>
  </si>
  <si>
    <t>Luís Trevejos</t>
  </si>
  <si>
    <t>Castro, D. Josef Manuel González y D. Vicente Martínez: á Subtenientes de compañía á los de bandera D. Luís Trevejos, D. Domingo Lamadriz y D. Bernardo Espert; y á Subtenientes de bandera á los Cadetes D. Josef Gregorio Castilla y D. Josef Cayetano Sastre, y al Sargento primero D. Andrés Perez.</t>
  </si>
  <si>
    <t>Treviila, Simón</t>
  </si>
  <si>
    <t>Simón Treviila</t>
  </si>
  <si>
    <t>Antonio Benavides , Sargento mayor de brigada; á este á D. Juan de Retz , Capitán primero; á este á D. Simón Treviila, Capitán segundo; y á este al Teniente I). Nicolás Verdejo. Igualmente ha conferido S; M. la Sargentía mayor del regimiento de caballería de María Luisa, quinto dé húsares, al Ten</t>
  </si>
  <si>
    <t>Trevilla, Andrés</t>
  </si>
  <si>
    <t>Andrés Trevilla</t>
  </si>
  <si>
    <t>economía civil, obtuvieron el premio de primera clase D. Antonio de la Pena, D. Miguel Victorica , D. Andrés Trevilla, D. Ignacio Blanco Hervas, D. Josef Cabeza y D. Josef Bravo Bermudez. El premio de segunda clase le obtuvieron D. Tomas Araujo y D. Francisco Cantala.piedra : y el de tercera se c</t>
  </si>
  <si>
    <t>Treviño, Juan</t>
  </si>
  <si>
    <t>Juan Treviño</t>
  </si>
  <si>
    <t>tenientes de (j^in pañía los de bandera E&gt;. Juan Galguera, D. Bernardo Prieto, D. Cirilo Lessasier, D. Juan Treviño y D. Luis Dreux , el Sargento primeroJJ). Manuel Rubio y el Cadete D. Francisco Devillers; y i Subtenientes¿¿e bandera los Sargentos primeros D.; Juan Josef Bon y D&gt; Juan Poi^, y los</t>
  </si>
  <si>
    <t>Trias, Pedro Juan</t>
  </si>
  <si>
    <t>Pedro Juan Trias</t>
  </si>
  <si>
    <t>os fuertes’ a Doña María Gordo , de España , según consta de la. testamentaría .de su difunto padre D. Pedro Juan Trias, que falleció en dicha NuevaBarcelona: se han hecho: varias diligencias para adquirir noticias- de dicha señora, y no lo ha podido lograr; solamente qué algunos le han dicho que D</t>
  </si>
  <si>
    <t>Tribulcio, General</t>
  </si>
  <si>
    <t>General Tribulcio</t>
  </si>
  <si>
    <t>iembre. El Emperador de los Franceses lia nombrado Ministro de Guerra al General Pino, en lugar del General Tribulcio, quien ha hecho su dimisión. ■ . FRANCIA. Strasbnrgo gi de Agosto. Va á terminarse el famoso proceso de las cédulas del banco de Vie112. El Procurador Imperial cerca del tribunal</t>
  </si>
  <si>
    <t>Trigge, General</t>
  </si>
  <si>
    <t>General Trigge</t>
  </si>
  <si>
    <t>70 buques Americanos, la mayor parte de los quales acababa de llegar. Se ha publicado una carta deL General Trigge, Gobernador de Gibraltar, con fecha de 20 de Setiembre, tn que da cuenta de la enfermedad que rey na en aquella plaza. Concluye en estos términos: ,,Los Doctores North , Bird , y</t>
  </si>
  <si>
    <t>Trinitaria Ferrer</t>
  </si>
  <si>
    <t>o Campos. 1 Teresa Porceil....................... 1 Lorenza Perez...^............................ 1 Doña Trinitaria Ferrer................. 1 Doña María Antonia Várela....... 1 Doña María Vareia y Merler..... x Bautista Botella............... 1 1x D. Nicolás de Módena................... 1 Juan •r &lt; Ca</t>
  </si>
  <si>
    <t>Truxillo y Tacón, Pedro</t>
  </si>
  <si>
    <t>Pedro Truxillo y Tacón</t>
  </si>
  <si>
    <t>. Madrid 4 de Mayo. S. M. ha concedido el empleo de Mariscal de Campo de sus ejércitos al Brigadier D. Pedro Truxillo y Tacón. Atendiendo el Rey á los servicios y méritos del Mariscal de Campo D. Juan Josef de San Juan, se ha servido conferirle la Inspección general de Milicias , que resultó vacante por</t>
  </si>
  <si>
    <t>Truxillo, Antonio</t>
  </si>
  <si>
    <t>Antonio Truxillo</t>
  </si>
  <si>
    <t>de dragones de España, en el reyno de México, se. ha servido el Re y.promover á Teniente al Alférez D. Antonio Truxillo; á Alférez al Portaguión D. Joaquin Santa Cruz, y á Portaguión al Cadete D. Mateo Quiíti. ^ En el regimiento de Milicias disciplinadas de infantería de laEHavana ha promovido S. M</t>
  </si>
  <si>
    <t>Tschirschagotr, Almirante</t>
  </si>
  <si>
    <t>Almirante Tschirschagotr</t>
  </si>
  <si>
    <t>I-Ia vuelto aquí parte de laesquadra, que zarpó últimamente de Cron~ tadt; eneHa han venido el Vice-Almirante Tschirschagotr y su esposa. : . Ayer hubo clo.s inct!ndio:s' eiles ta capital, uno en t L puente de bar..,. cas ,que sirve de comunicacionentre el jardin de verano y la ciudadela, y el otrO en- el</t>
  </si>
  <si>
    <t>Tschitschagoíf, Almirante</t>
  </si>
  <si>
    <t>Almirante Tschitschagoíf</t>
  </si>
  <si>
    <t>enteramente* RUSIA. Petersburg0'2O de Diciembre. A conseqüencia del plan que ha presentado el Vice-Almirante Tschitschagoíf, aprobado por S. M. I., habrá siempre 35 navios de línea en estado de servicio. ALEMANIA. Wetzlar de Diciembre. Aun no se han terminado las diferencias suscitadas entre la nobleza</t>
  </si>
  <si>
    <t>Tuan Miran</t>
  </si>
  <si>
    <t>.. 1 Sebastian Ferrer........ ..................... 1 Teresa Blanco......... .................... r D. Tuan Miran................................ t D. Pedro Pastor y su criada........ 2 D, Joaquín Soler............................ 1 La viuda deD. Gregorio Campos. 1 Teresa Porceil.............</t>
  </si>
  <si>
    <t>Tutor, Ramón</t>
  </si>
  <si>
    <t>Ramón Tutor</t>
  </si>
  <si>
    <t>Cascante, en el Reyno de Navarra, y Obispado de Tarazona, por fallecimiento de D. Fermín Guirior, á Don Ramón Tutor, Cura Párroco de Fontellas, en el de Tudela: para el Préstamo de Hornillos del Camino, y el Beneficio simple de S. Pedro de la Hoz, en el Arzobispado de Burgos, por muerte de D. A</t>
  </si>
  <si>
    <t>T’aydorv Ministró de Inglaterra</t>
  </si>
  <si>
    <t>istro de la República bátava cerca de la Puerta otomana, ha salido de aquí para el Haya*. , y ,, &gt;- Mr. T’aydorv Ministró de Inglaterra, ceitca.de. S. A, S. el Elector, jjie HeSse, ha llegado á-esta (.ciudad desde Gassfeb-; , ; t , , 1 Hoy ha entrado’ en esta capital , á las dos de la tárjele, la .princesa de Hess</t>
  </si>
  <si>
    <t>Ugena, Domingo</t>
  </si>
  <si>
    <t>Domingo Ugena</t>
  </si>
  <si>
    <t>scritos en francés por el R. P. Bernardo Lami, presbítero del oratorio: traducidos é ilustrados por D. Domingo Ugena, presbítero:esta obra presenta un plan exacto y sencillo para estudiarlas ciencias, y servirse de ellas con utilidad pública. Los 2 tomos en 4.0 de que se compone esta obra se hal</t>
  </si>
  <si>
    <t>Ulloa, Juan</t>
  </si>
  <si>
    <t>Juan Ulloa</t>
  </si>
  <si>
    <t>ro del Barco, D. Pedro Nuñez, D. Manuel Kcdriggn§^&lt;» D. Juan Josef Murrieta, Don Francisco Spínola, D. Juan Ulloa., D. M-sariin Oarrichena , D. Manuel Bacaro, D. Antonio Bovadilla, D. Migu«i(li Martínez, D. Luis Lasqueti,Don Juan Latre, D. Tomas Urrecha, D: R.jmon Moyua, D. Ramón Torre, D. Ma</t>
  </si>
  <si>
    <t>Ulpiano de la Carrera</t>
  </si>
  <si>
    <t>una plaza de Agente del número de Indias, vacante por fallecimiento de D. Francisco Gómez de Cos, á D. Ulpiano de la Carrera. En América. El Rey se ha servido nombrar para el Obispado de Sta. Marta, vacante por fallecimiento de Fr. Eugenio Sesé , á Fr. Miguel Sánchez Cernido, del orden de S. Francisco d</t>
  </si>
  <si>
    <t>Unzaga, Francisco</t>
  </si>
  <si>
    <t>Francisco Unzaga</t>
  </si>
  <si>
    <t>Manuel Elzaurdi. En Cuenca............ Sres. viuda de Escolar y Noriega ¿ hijo* En Granada........ D. Francisco Unzaga. En Guadalaxara. D. Isidoro García Plaza. En Jaén................D. Pedro y D. Juan Esponera. En León........... D. Pedro Gil de Tejada. En Malaga."".... D. Juan Ximeno. En Mahon.</t>
  </si>
  <si>
    <t>. D. Manuel Elzaurdi. En-Cuenca....... Sres. viuda de Escolar y Noriega e hijo. En Granada.... .... D. Francisco Unzaga. En Guadalapara. t&gt;. Isidoro García Plaza. En Jaén..... ......... D. Pedro y D. Juan Esponera. En León............... í). Pedro Gil de Tejada. En Malaga.......... D. Juan Ximeno.</t>
  </si>
  <si>
    <t>Urbano Antonio Díaz de las Cuevas</t>
  </si>
  <si>
    <t>ión de la Catedral de la Puebla de los Angeles, vacante por fallecimiento deD. Atanasio deUrueña, á D. Urbano Antonio Díaz de las Cuevas: para la Media-Ración,' que este dexa, á D. Gaspar Antonio de Ribera, Cura de Zoquitlan en aquella Diócesis; y para otra Media-Ración de la Iglesia Metropolitana de Charcas, vacan</t>
  </si>
  <si>
    <t>Urbez Ara</t>
  </si>
  <si>
    <t>an, Gobernador de la de Rosas; y ha concedido el Rey grado de Teniente de infantería al Subteniente D. Urbez Ara, Ayudante de la de Ay amonte. El Mercurio de España de 30 de Junio, núm. xii, s* hallará desde mañana en el despacho de la imprenta Real: y en Cádiz en casa de D. Manuel Navarro.</t>
  </si>
  <si>
    <t>Urquidi, Juan</t>
  </si>
  <si>
    <t>Juan Urquidi</t>
  </si>
  <si>
    <t>; á Teniente de granaderos al de fusileros D. Josef Cosío ; á Teniente ai Subteniente de granaderos D. Juan Urquidi,; á Subteniente de granaderos al de fusileros D. Antonio Cayre, y á Subteniente de bandera al Sargento primero distinguido D. Mariano Romero. Por el Ministerio de Guerra se ha com</t>
  </si>
  <si>
    <t>Urrecha, Tomás</t>
  </si>
  <si>
    <t>Tomás Urrecha</t>
  </si>
  <si>
    <t>a , D. Manuel Bacaro, D. Antonio Bovadilla, D. Migu«i(li Martínez, D. Luis Lasqueti,Don Juan Latre, D. Tomas Urrecha, D: R.jmon Moyua, D. Ramón Torre, D. Manuel Berna!, D. Antonio Mañeáis D.Joaquín Elgueta, D. Francisco Sarachaga, D. Josef García Joves, ÍD- Miguel Valdasano, D. Josef Leyva, D. R</t>
  </si>
  <si>
    <t>Ustariz, Vicente</t>
  </si>
  <si>
    <t>Vicente Ustariz</t>
  </si>
  <si>
    <t>ida Colegiata, vacante por as' censo de D. Manuel Gil de la Cuesta á una de la Catedral de Avila, á D. Vicente Ustariz, Sargento retirado. . El Rex se tía servido conferir en el regimiento de infantería de Málaga Compañía al Teniente de granaderos, graduado de Capí tan, D. Pedro</t>
  </si>
  <si>
    <t>Utzschneider</t>
  </si>
  <si>
    <t>se ha olvidado la industria y las manufacturas. No citaré mas que las grandes y activas tenerías ae Mr. Utzschneider ,. refrendario electoral, que prosperan cada dia mas, á pesar de la libertad ilimitada del comercio y de la importación de los cueros extrangeros; siendo así que anteriormente las</t>
  </si>
  <si>
    <t>Va, General</t>
  </si>
  <si>
    <t>General Va</t>
  </si>
  <si>
    <t>estra corte con pliegos» según se dice, de la mayor importancia. Hoy ha salido para la Finlandia el General Va n-Such telen, gefe del cuerpo de Ingenieros, 00.a una comisión de S. M. I.</t>
  </si>
  <si>
    <t>Va, Julián</t>
  </si>
  <si>
    <t>Julián Va</t>
  </si>
  <si>
    <t>do. En América. S. M. se ha servido nombrar p^raaiiu Canongía de merced de la catedral de Durango á D. Julián Va^io de Vicente: para su Ración á D. Pedro Ignacio de Iturribarría; y j^jta la Media-Ración de este á D. Simón Santa María, Cura del partido^ ¿S. Antonio de Cuencame en aquella dióc</t>
  </si>
  <si>
    <t>Va, Miguel</t>
  </si>
  <si>
    <t>Miguel Va</t>
  </si>
  <si>
    <t>regimiento al Capitán primero D. Joaquin de {barra, y a Sargento mayor del quinto al de igual clase D. Miguel Va^PfL Ámfricá En el regimiento de dragones provinciales de San Luis se fr^vídó eV Rey pronfover i Teniente Coronel al Capitán D Lorend Zo Monroy; á Capitán al Teniente D. Andrés Sie</t>
  </si>
  <si>
    <t>Vaibuena, Mateo</t>
  </si>
  <si>
    <t>Mateo Vaibuena</t>
  </si>
  <si>
    <t>lentín A legre, Teniente del Provincial de Xerez, al de la propia clase de granero s del de Sevilla Don Mateo Vaibuena, al Teniente del de Málaga D,.Antonio Cea y Cea, y al Subteniente de granaderos dei de Betanzos^, Antonio Tamaceo; y en el batallón de Voluntarios de Valencia á D.j^aiirde la Fuen</t>
  </si>
  <si>
    <t>Vaidecañas, Antonio</t>
  </si>
  <si>
    <t>Antonio Vaidecañas</t>
  </si>
  <si>
    <t>D.. Josef Pagóla , Oidor de la Chancillería de Granada: para esta, plaza, al Alcalde, ;de la misma D. Antonio Vaidecañas ry para esta resulta á Dií Juan Agustín Abarrategui. También se ha servido S. M. nombrar para una plaza de Oidor de la Chancíllería de VáUadolid, vacante por fallecimiento; de D.</t>
  </si>
  <si>
    <t>Valcárcel, Antonio</t>
  </si>
  <si>
    <t>Antonio Valcárcel</t>
  </si>
  <si>
    <t>Díaz Melendez, D. Josef Aramburu, ¿.Francisco Echezarreta, D. Pablo Bustamante, D. Domingo Allende, D. Antonio Valcárcel, D. Antonio Díaz de Córdoba , D. Salvador Clavijo, D. Josef Julián, D. Francisco Topete, D. Manuel del Castillo, D. Vicente María Saavedra, D. Miguel Montemayor, D. Antonio Ausejo</t>
  </si>
  <si>
    <t>Valdemoros, Mateo</t>
  </si>
  <si>
    <t>Mateo Valdemoros</t>
  </si>
  <si>
    <t>iza y Formentera, vacante por promoción de D. Valentín Llocer á la de la Intendencia de Cataluña, á D. Mateo Valdemoros. También se ha servido S. M. nombrar para una plaza de Agente del número de Indias, vacante por fallecimiento de D. Francisco Gómez de Cos, á D. Ulpiano de la Carrera. En América.</t>
  </si>
  <si>
    <t>ara de Alcalde mayor Teniente de Corregidor de la ciudad de Guadalaxara , vacante por promoción* de D. Mateo Valdemoros á la Asesoría togada de la isla de Ibiza, á Don Manuel Abad y Cismé. , A, , . , t Asimismo ha nombrado el Rey para la V ara de Alcalde mayor de la villa de Dos-Barrios á D. Josef</t>
  </si>
  <si>
    <t>Valderasj Dormido Guillermaud, Antonio</t>
  </si>
  <si>
    <t>Antonio Valderasj Dormido Guillermaud</t>
  </si>
  <si>
    <t>era los Sargentos primeros D.; Juan Josef Bon y D&gt; Juan Poi^, y los Cadetes Don Cárlos de Grand-pre,D, Antonio Valderasj Dormido Guillermaud y</t>
  </si>
  <si>
    <t>Valderrama, Francisco</t>
  </si>
  <si>
    <t>Francisco Valderrama</t>
  </si>
  <si>
    <t>. Cayetano de Ribas, el primero, segundo y quarto Ayudantes :á este empleo á los Capitanes segundos D. Francisco Valderrama, D. Josef Power.y D. Josef Viñals: i. Capitanes segundos ,á los Tenientes D. Francisco Cl.os, D. Tomas Corrochano, D,. Rafael Villar,, graduado de Capitán, D. Bartolomé Lison, de</t>
  </si>
  <si>
    <t>Valdés, Juan Gerónimo</t>
  </si>
  <si>
    <t>Juan Gerónimo Valdés</t>
  </si>
  <si>
    <t>Ración de la metropolitana de Lima , vacante por fallecimiento de D. Fernando Arias de Saavedra, á D. Juan Gerónimo Valdés, Medio-Raqionero de ella: pata esta resulta á D. Josef Xavier de Irurzur , Cura en el misino arzobispado; y para una Media-Ración de la catedral de Cuenca, en el Perú , vacante po</t>
  </si>
  <si>
    <t>Valdés, Matias</t>
  </si>
  <si>
    <t>Matias Valdés</t>
  </si>
  <si>
    <t>gan por la Justicia. Quien quisiere pretenderla dirigirá su solicitud, en e.l término de 15 dias, á D. Matias Valdés ó á Santiago Díaz, vecinos capitulares de la misma villa, y comisionados por su Ayuntamiento para la admisión de dicho facultativo. Se halla vacante en la ciudad de Segovia la ter</t>
  </si>
  <si>
    <t>Valdés, Miguel</t>
  </si>
  <si>
    <t>Miguel Valdés</t>
  </si>
  <si>
    <t>iente D. Juan Manrique: empleos d¿ Tenientes á los Subtenientes D. Ramón de Ayala, de granaderos, y D. Miguel Valdés; de Subteniente de granaderos al de fusileros D. Antonio Luis Aleado; de Subteniente de compañía á D. Manuel Muñoz, agregado en esta clase al expresado batallón, y de Subtenientes</t>
  </si>
  <si>
    <t>Valdivia, Vicente</t>
  </si>
  <si>
    <t>Vicente Valdivia</t>
  </si>
  <si>
    <t>ncias de bandera en el de la Princesa ai Cadete del Real Cuerpo de Ingenieros Cosmógrafos de Estado D. Vicente Valdivia; en el de Nápoies ai Cadete del de las Ordenes Militares D. Antonio María Secane; y en el primer batallón de Voluntarios de Aragón al Sargento primero D. Cereríno Laborda. El Rey</t>
  </si>
  <si>
    <t>Valencia y García, Pedro</t>
  </si>
  <si>
    <t>Pedro Valencia y García</t>
  </si>
  <si>
    <t>a Chantría de la metropolitana de México, vacante por fallecimiento deD. Manuel Antonio Sandovai, á D. Pedro Valencia y García, Canónigo de merced mas antiguo de la misma metropolitana: para esta Canangía al Racionero de la propia D.Cayetano Josef de Fonc.eradav para esta Ración á D. Francisco Ignacio Rod</t>
  </si>
  <si>
    <t>Valencia, Juan</t>
  </si>
  <si>
    <t>Juan Valencia</t>
  </si>
  <si>
    <t>lis. mrs Juan Valencia...................... Tillo. I4»"*5 Joaquin Arellano—............. Fuensalida............... ...... 241-25. 6.* DFL 2.°</t>
  </si>
  <si>
    <t>Valentín de Nicolás, Manuel</t>
  </si>
  <si>
    <t>Manuel Valentín de Nicolás</t>
  </si>
  <si>
    <t>el Arcedianaro mular de la catedral de Cádiz, vacante por fallecimiento &lt;feD. Rodrigo Caballero , a D. Manuel Valentín de Nicolás: para una Media-Ración de la metropolitana de Granada , vacante por muerte de D. Pedro Zurita , a D. Joa</t>
  </si>
  <si>
    <t>Valentín del Rio</t>
  </si>
  <si>
    <t>Santa, y para el de Arles, por muerte de D. Pedro Campo Redondo, ambos en el obispado de Oviedo, á D. Valentín del Rio: para el Beneficio simple servidero de la parroquia de la villa de Nava de Roa, diócesis de Osma* vacante por muerte de D. Manuel Pando, con la obligación de ayudar al Párroco en</t>
  </si>
  <si>
    <t>Valentín Llocer</t>
  </si>
  <si>
    <t>nte D. Josef Zafra. La Asesoría togada de las islas de Ibiza y Formentera, vacante por promoción de D. Valentín Llocer á la de la Intendencia de Cataluña, á D. Mateo Valdemoros. También se ha servido S. M. nombrar para una plaza de Agente del número de Indias, vacante por fallecimiento de D. Franc</t>
  </si>
  <si>
    <t>Valentín Torres y Amat</t>
  </si>
  <si>
    <t>e $. Juan de las Abadesas, Diócesi de Vique, Vacante por fallecimiento de D. Juan Torres y Ainat, á D. Valentín Torres y Amat; y para un Beneficio de la Parroquia de Alagón, Diócesi de Zaragoza&gt; vacante por muerte de Don Manuel Lope , á D. Josef Larraz y Morana. En América. Para el empleo de nueva creaci</t>
  </si>
  <si>
    <t>Valenzuela, Joaquín</t>
  </si>
  <si>
    <t>Joaquín Valenzuela</t>
  </si>
  <si>
    <t>Militares y Voluntario de la Corona á los Sargentos primerosD. Antonio Guzman,Don Francisco Galan , D. Joaquín Valenzuela y D. Sebastian Vico; y en el de Extremadura á los Cadetes D. Ramón Solano y D. Manuel María Travesi. En el regimiento de infantería de Voluntarios de Castilla se ha dignado S. M. conc</t>
  </si>
  <si>
    <t>Valera, Francisco</t>
  </si>
  <si>
    <t>Francisco Valera</t>
  </si>
  <si>
    <t>y D. Juan de Castro Palomino; y á Subtenientes de compañía á los de bandera D. Antonio de la Torre, D. Francisco Valera y D. Carlos Laureut. El Rey se ha servido nombrar Sargento mayor del regimiento de dragones Provinciales del Príncipe,.en Nueva-España, á D. Vicente Barros, que lo era del de dragones</t>
  </si>
  <si>
    <t>Valeriano Subow, Conde</t>
  </si>
  <si>
    <t>Conde Valeriano Subow</t>
  </si>
  <si>
    <t>Gran Duque Constantino, Director del cuerpo de Cadetes de ingenieros, vacante por fallecimiento del Conde Valeriano Subow. También se dice que se pondrá á su cargo el cuerpo de Cadetes nobles.__ El Conde Valeriano no tenia aun mas de 40 años; perdió una pierna en Polonia por una bala de cañón, y habí</t>
  </si>
  <si>
    <t>Valeriano, Conde</t>
  </si>
  <si>
    <t>Conde Valeriano</t>
  </si>
  <si>
    <t>l Conde Valeriano Subow. También se dice que se pondrá á su cargo el cuerpo de Cadetes nobles.__ El Conde Valeriano no tenia aun mas de 40 años; perdió una pierna en Polonia por una bala de cañón, y había mandado las tropas rusas en la guerra contra Persia.__ Ha dexado en su testamento varios l</t>
  </si>
  <si>
    <t>Valerio CortijQ</t>
  </si>
  <si>
    <t>en 1.709,414 rs. en metálico. La persona que quiera tratar de ajuste, se dirigirá al Escribano Real D. Valerio CortijQ, que vive en la calle de la Cruz, esquina á la de Majaderitos angosta, núm. 20, quarto 3.0, quien enterará de las condiciones y demas que fuere pseciso. D. Raymundo Forcatera, D.</t>
  </si>
  <si>
    <t>Valerio González, Agustín</t>
  </si>
  <si>
    <t>Agustín Valerio González</t>
  </si>
  <si>
    <t>traslación á otra Ración de la catedral de Durango de D. Nicolás de Viiianueva , al Medio-Racionero D. Agustín Valerio González; y para esta resulta á D. Juan Josef de Michilena , Gura del Sagrarlo de Mechoacan. En el regimiento de Milicias disciplinadas de infantería de la Havana se ha servido promover el</t>
  </si>
  <si>
    <t>Valero</t>
  </si>
  <si>
    <t>e AU férez del regimiento de Milicias.disciplinadas de voluntarios de cabalie-r -ría de Montevideo, D. Valero. Martínez; y.á Portaguiones al Cadete D. Silvestre Blanco, á los Sargentos D. Bernabé Ruiz y D. Francisco •Saez, el primero graduado de Alférez, y al Cadete del regimiento de Real</t>
  </si>
  <si>
    <t>Valero de Aso</t>
  </si>
  <si>
    <t>-Ración del lugar de Zamarra, en. la de Ciudad-Rodrigo , por fallecimiento de D. Tomas Martínez , á D. Valero de Aso, Cura de la parroquia de Rodajos en la Real Casa de Campo; y para él'Beneficio simple servidero de. la parroquial de S&gt; Miguel de la ciudad de Murcia; por fallecimiento de D. Agus</t>
  </si>
  <si>
    <t>Valero Villar</t>
  </si>
  <si>
    <t>niente de la segunda compañía fixa de la plaza de Ceuta al Sargento prefiero dei segundo regimiento D. Valero Villar; y por segundo Capellán de la capilla parroquia castrense de la Real fábrica de armas blancas de Toledo al presbítero D. Patricio González. El Rey se ha servido nombrar para la pl</t>
  </si>
  <si>
    <t>Valero, Antonio</t>
  </si>
  <si>
    <t>Antonio Valero</t>
  </si>
  <si>
    <t>imera clase 6 entrada, y las dos últimas de nueva creación: para la de Porcuna, de tercera clase, á D. Antonio Valero; y para la del Pozuelo de Calatrava á D. Juan Pedro Dato y Ortega, ambas en el territorio de la misma Orden de Calatrava, y esta última de primera clase y nueva creación. Para la</t>
  </si>
  <si>
    <t>a de Alcalde mayor de la villa de Caravaca, territorio de la Orden de Santiago, de tercera clase, á D. Antonio Valero. En América. S. M. se ha servido conferir la Sargentía mayor de Milicias disciplinadas de la Provincia de Cumaná, de nueva creación, á Don Miguel Correa, Capitán agregado al Estad</t>
  </si>
  <si>
    <t>os Sargentos primeros D. Carlos Pons y D. Antonio Medina, y á ios Cadetes Don Francisco María Saez, D, Antonio Valero y D. Josef María Torraiba. S. M. se ha servido conceder Ayudantías en los Regimientos de infantería de Sevilla y Ordenes Militares á los Tenientes, graduados de Capitán, D. Rafael Can</t>
  </si>
  <si>
    <t>Valladares de Sotomayor, Antonio</t>
  </si>
  <si>
    <t>Antonio Valladares de Sotomayor</t>
  </si>
  <si>
    <t>l prospecto qwe se.dió al público. = La Leandra , novela original que comprehende muchas : su autor D. Antonio Valladares de Sotomayor, tomo 6.° Se hallará en las librerías de Escribano y de Munita, calle de las Carretas, y en el puesto de Sánchez , calle de la Cruz. Diálogos sobre las artes del diseño : obra cur</t>
  </si>
  <si>
    <t>ñía, puerta de Guada laxara. Tomo 6.° de la Leandra, novela original, que contiene muchas: su autor Don Antonio Valladares de Sotomayor. Se vende suelto, y con la obra, en pasta ó rústica en la librería de Escribano, calle de las Carretas, y en el puesto de comedias, calle del Príncipe^ Reflexiones filosóficas en</t>
  </si>
  <si>
    <t>Valladares, Gerónimo</t>
  </si>
  <si>
    <t>Gerónimo Valladares</t>
  </si>
  <si>
    <t>s de bandera, en el de Saboya, á D. Pablo Bernardo Quitos y D. Pedro Rosales; y en el dé Mallorca á D. Gerónimo Valladares y D. Agustín Bueno y Bruin , los quatro Cadetes de ios mismos cuerpos. En el Real cuerpo de Artillería se ha servido el Rey promover á Gefes de Brigada á los Capitanes primeros D. Isi</t>
  </si>
  <si>
    <t>Rey se ha servido nombrar Subtenientes del Real Cuerpo de Ingenieros del exército á D. Félix Toda, D. Gerónimo Valladares y.Don Agustín Bueno, Teniente y Subtenientes del regimiento de infantería de Mallorca; á D. Antonio Hurtado, D. Josef Navarro, D. Francisco Ruarte, D. Miguel Ruano, D. Juan Pablo Se</t>
  </si>
  <si>
    <t>Valladares, Pedro</t>
  </si>
  <si>
    <t>Pedro Valladares</t>
  </si>
  <si>
    <t>cuda ante ei Sr. Alcalde de casa y corte D. Alfonso Duran y Barazabal, y escribanía de provincia de D. Pedro Valladares , donde se manifestará la certificación que ha dado de las mismas obras y su coste el arquitecto D. Josef Tellez, que las ha reconocido; y admitirán las que se hiciesen siendo arr</t>
  </si>
  <si>
    <t>el día 18 del corriente, á la hora de las 11 de su mañana, «n la escribanía de provincia que exerce D. Pedro Valladares. Quien quisiere hacer postura acuda ante el Sr. Alcalde de casa y corte D. Alfonso Duran, y por dicha escribanía. En cumplimiento de lo pactado en la escritura, celebrada entre la</t>
  </si>
  <si>
    <t>Vallecilio, Manuel</t>
  </si>
  <si>
    <t>Manuel Vallecilio</t>
  </si>
  <si>
    <t>los batallones de Voluntarios, primero de Aragón y de Campomayor, al Ayudante, graduado de Capitán, D. Manuel Vallecilio, y á los Capitanes segundos Don Josef Torres y D. Juan Rafael Lasala. S. M. se ha servido conferir la Comandancia del tercer batallón del Regimiento de infantería de la Corona al</t>
  </si>
  <si>
    <t>Vallecillas, Manuel Santiago</t>
  </si>
  <si>
    <t>Manuel Santiago Vallecillas</t>
  </si>
  <si>
    <t>Pedro López de Segovia; y para el Corregimiento de Mariquita, distrito del Vireynato de Santa Fe, a D. Manuel Santiago Vallecillas. S. M. se ha servido conferir el empleo de Teniente Coronel del Regimiento de infantería provincial de Celaya, en el Reyno de Nueva—España , á D. Juan Bautista Larrondo , Capitán</t>
  </si>
  <si>
    <t>Vallejo, Manuel</t>
  </si>
  <si>
    <t>Manuel Vallejo</t>
  </si>
  <si>
    <t>sores que le soliciten present irán sus memoriales. hasta el 15 de Julio próximo, y los remitirán á D. Manuel Vallejo, Escribano de S. M. del numero y Ayuntamiento de dicha villa. Se halla vacante la plaza de Médico de la villa de Chozas de Canales, que sé compone de 130 vecinos, inclusos los ecl</t>
  </si>
  <si>
    <t>Valli</t>
  </si>
  <si>
    <t>los muertos y heridos que, tuvieron. Viena 29 de Mayo. Ha llegado aquí de Constantinopla el célebre Doctor Valli. Ha venido á pie todo el camino, según su costumbre. Ya sabe la Europa el zélo de este Médico en propagar la vacunación, y los experimentos que ha hecho á fin de indagar si el líq</t>
  </si>
  <si>
    <t>Vallijcel, Vicente</t>
  </si>
  <si>
    <t>Vicente Vallijcel</t>
  </si>
  <si>
    <t>tolomé Arguelles, D. Fernando Becerra, D. Rafkl Bovadillo, D. Josef Mendivil, I). Antonio Saavedra, D. Vicente Vallijcel, D. Josef Primo de Ribera,</t>
  </si>
  <si>
    <t>Valluguera, Francisco</t>
  </si>
  <si>
    <t>Francisco Valluguera</t>
  </si>
  <si>
    <t>Granada , Navarra, América y Ñapóles Tenencias á los Subtenientes Don Miguel de Córdoba y Figueroa, D. Francisco Valluguera , D. Joaquín Gayoso y D. Josef Borlascá; y en el de Zamora Subtenencia de bandera al Cadete D. Tomas Vielsa y Cocon. El Rey se ha servido conceder Subtenencias de bandera en el re</t>
  </si>
  <si>
    <t>Valverde, Francisco</t>
  </si>
  <si>
    <t>Francisco Valverde</t>
  </si>
  <si>
    <t>roquia de S. Pedro de Cela, en la Diócesi de Tuy, vacante por fallecimiento de D. Martin de Cea , á D. Francisco Valverde, Cura Párroco de.la misma Iglesia, con la precisa obligación de poner un Saeerdotyque le ayude en las funciones de su ministerio. El Rey se ha servido conceder Ayudantía en el Reg</t>
  </si>
  <si>
    <t>Van- Such, General</t>
  </si>
  <si>
    <t>General Van- Such</t>
  </si>
  <si>
    <t>nda el Emperador que los aldeanos delLuftand no sean en adelante vendidos, cedidos ni empeñados. El General Van- Such telen- ha presentado á; S. M. I. un plan para ensanchar el puerto de Revel, y fortificar- la parte de la costa de la entrada del mar de Finlandia. El objeto de este plan se dirige</t>
  </si>
  <si>
    <t>Van-der-Hoop</t>
  </si>
  <si>
    <t>banco ííasgen y Jachens han, conseguido que se anule el convenio celebrado cori tanta perfidia per Mr. Van-der-Hoop con casi todos sus acreedores. Ei ex-Síndico se ha huido. Son' nHiy favorables las noticias del Cabo,doñd« las providencias dadas por el Gobernador geííéral Mr. Janssens merecen l</t>
  </si>
  <si>
    <t>Van-Derfluch</t>
  </si>
  <si>
    <t>a. La Dieta ha adoptado últimamente el proyecto de desaguar las lagunas del Linth. Con este motivo, Mr. Van-Derfluch, diputado de Unterwalde, ha propuesto también que se desagüe una parte del lago de Lungern, en su:cantón; cuya propuesta será recomendada á los cantones. Se cree que principiarán</t>
  </si>
  <si>
    <t>Van-Leydén</t>
  </si>
  <si>
    <t>su venta. , . • Hallándose de. venta en pública subasta en París la célebre colección de quadros de Mr. Van-Leydén, de Amsterdam; y habiéndose prefixado para dicho Cfecto el dia 5 de Julio próximo, se hace saber al público, á fin de que las personas que quisiesen hacer postura á dicha colecció</t>
  </si>
  <si>
    <t>Van-Sousbeek</t>
  </si>
  <si>
    <t>s ha sido nombrado Médico extraordinario de S. M. HOLANDA. Haya 2 de Junio. El- ciud. Van-Sousbeek ha sido nombrado Presidente del Cuerpo legislativo’ para la sesión extraordinaria, que empezará el 11 del corriente, con el objeto de arreglar el estado dé la</t>
  </si>
  <si>
    <t>Van-Suchtelen, General</t>
  </si>
  <si>
    <t>General Van-Suchtelen</t>
  </si>
  <si>
    <t>truir una fortaleza importante en las cercanías de Aborfors, comisionando para dirigir las obras al General Van-Suchtelen, Ayer se enterraron con grande pompa los restos del Duque de Ostrogocia. Toda la Corte asistid á esta ceremonia. La guarnición y el regimiento del Duque hicieron varías descargas,</t>
  </si>
  <si>
    <t>Vander-Leyensobrina, Conde</t>
  </si>
  <si>
    <t>Conde Vander-Leyensobrina</t>
  </si>
  <si>
    <t>ben pagar ¿ anualmente su pensión etteonformidad del recerco general'del Imperio. ; - h -b . Portel-Conde Vander-Leyensobrina clel Elector Archi -Canciller,</t>
  </si>
  <si>
    <t>Vanen</t>
  </si>
  <si>
    <t>General Hamilton, se verificó el 11 dé Julio éñHeboken , cerca de Nueva-Yorck. Fuéron los padrinos Mr. Vanen y el Juez Pendleton. El General Hamilton fué atravesado de un balazo por medio del cuerpo ; y habiendo sido llevado á casa del Coronel Byard, espiró al día siguiente. Luego que este s</t>
  </si>
  <si>
    <t>Vansittart</t>
  </si>
  <si>
    <t>explicar y enmendar diferentes actas pasadas en las sesiones precedentes acerca de los voluntarios. Mr. Vansittart, uno délos principales Comisarios de la Tesorería,!hizo la propuesta, que se adoptó, de que se presentase á la Cámara un .estadoi dél producto líquido de los impuestos permanentes</t>
  </si>
  <si>
    <t>Vaquer, Agustín</t>
  </si>
  <si>
    <t>Agustín Vaquer</t>
  </si>
  <si>
    <t>rvido conferir Compañía en el regimiento de infantería de Zamora al Teniente , graduado de Capitán, D. Agustín Vaquer: Tenencia en el de Hibernia ai Subteniente de granaderos D. Blas Alvarez; y Subtenencias de bandera en los de la Rey na y Navarra á líos Cadetes: D. Antonio Tovar , y D. Francisco</t>
  </si>
  <si>
    <t>Vareia y Merler, María</t>
  </si>
  <si>
    <t>María Vareia y Merler</t>
  </si>
  <si>
    <t>.................... 1 Doña Trinitaria Ferrer................. 1 Doña María Antonia Várela....... 1 Doña María Vareia y Merler..... x Bautista Botella............... 1 1x D. Nicolás de Módena................... 1 Juan •r &lt; Carr ata la ••••••••................ Nicolás Carratah:...................... " ....</t>
  </si>
  <si>
    <t>Varo Franco, Diego</t>
  </si>
  <si>
    <t>Diego Varo Franco</t>
  </si>
  <si>
    <t>emayor, D. Manuel: Meñendez Vaides, D. Francisco Quiroga y Osores, D. Manuel Esqúivel y Castañeda , D. Diego Varo Franco, Don Pedro de la Barreda, D. Ignacio Reguera, D. Josef Zorrilla y Ortiz, Don Ignacio Olaeta y Calafát, D. Antonio Martínez y Tacón , D. Rafael Casa so la y ViUa.iba. En 3.a fecha.</t>
  </si>
  <si>
    <t>Varona, Juan</t>
  </si>
  <si>
    <t>Juan Varona</t>
  </si>
  <si>
    <t>Josef León, D. Ildefonso Fonseca , D. Domingo Cándano, D. Jjjnsjw (Castañeda, D. Francisco Barceló, D. Juan Varona, D. Josef IVÍo ota lleda , D. Joaquín Camacho, Don Juan Martínez, D. Ramón Amaya , E3. JflosefSuarez , D. Pedro del Barco, D. Pedro Nuñez, D. Manuel Kcdriggn§^&lt;» D. Juan Josef Mur</t>
  </si>
  <si>
    <t>Vascuel, Juan</t>
  </si>
  <si>
    <t>Juan Vascuel</t>
  </si>
  <si>
    <t>ecino que fué de la ciudad de.Zaragoza, y se cree fué natural del Reyno dé Aragón, se presentarán &amp; D. Juan Vascuel, Procurador del Real seminario sacerdotal de S. Carlos de Zaragoza, quien los dirigirá adonde se instruirán de un derecho que les pertenece. Compendio de la Historia de España, es</t>
  </si>
  <si>
    <t>Vasenski, Príncipe</t>
  </si>
  <si>
    <t>Príncipe Vasenski</t>
  </si>
  <si>
    <t>ntería rusa, de que es Coronel el General Bacmétieff, y un regimiento de cazadores , mandado por el Príncipe Vasenski. TURQUIA. Constantinopía 21 de Julio. Los alborotos que reynan en Siria son mas serios de lo que se creía. Mientras que Dgezzar reynó en este pais, el temor que inspiraba su despo</t>
  </si>
  <si>
    <t>Vatere, Antonio</t>
  </si>
  <si>
    <t>Antonio Vatere</t>
  </si>
  <si>
    <t>Pedro'E/ilsac.j léase D. Juan Pedro Talasac. Igualmente en la del núm. 89, pág. 99© , lín. 30, dice D. Antonio Vatere , léase 2&gt;. Andrés Antonio komero y Valdes. Oficio de la Semana Santa y Semana de Pascua en castellano, y con el texto latino , traducicip éIlustrado con varias notas por D., Jóse</t>
  </si>
  <si>
    <t>Vauquelin</t>
  </si>
  <si>
    <t>en general, que entraría algún aceyte graso en la composición. Por casualidad ha llegado á manos de Mr. Vauquelin una botella del licor empleado para dicho objeto, y de su análisis resulta que se compone de cola y xabon, disueltos en agua. Con esta disolución se mezcla otra de alumbre, que al</t>
  </si>
  <si>
    <t>Vázquez, Bartolomé</t>
  </si>
  <si>
    <t>Bartolomé Vázquez</t>
  </si>
  <si>
    <t>Academia de S. Fernando. Se hallará con el Ecce-Homo, Mater dolorosa y otras estampas grabadas por D. Bartolomé Vázquez, por el mismo estilo, en las librerías de Ramos, carrera de S. Gerónimo, y de Escribano, calle de las Carretas. En el almacén de papel rayado de música y de todas clases de D. Man</t>
  </si>
  <si>
    <t>Vázquez, Francisco</t>
  </si>
  <si>
    <t>Francisco Vázquez</t>
  </si>
  <si>
    <t>Kempis , intitulada: Imitación de Christo y desprecio del mundo; traducidos al castellano por el P. D. Francisco Vázquez, C. R. de San Cayetano. JLos asuntos que contiene son : De la soledad interior : De los socorros exteriores de la devoción : De la devoción: De las ventajas de una devoción sólida</t>
  </si>
  <si>
    <t>a de San Bernardo, llena de sentencias y consejos espirituales. Nueva edición , corregida por el P. Don Francisco Vázquez, C. R. Un tomo en 8.° á 10 rs. en pasta. 1 Catéchismh historique , contenant en abrégé VHistoire sainte et la Doctrine Chrétienne , par JUr. VAbbé Fleury, Prétre, Prieur á'Argente</t>
  </si>
  <si>
    <t>e ICempis, intitulada Imitación de Cristo y desprecio del mundo, traducidos al castellano por el P. D. Francisco Vázquez, Clérigo Reglar de S. Cayetano. Todo en esta obra es sentencia, luz y sentimientos piadosos: por una parte se halla una devoción.tierna, ilustrada y sólida, sustentada con la lect</t>
  </si>
  <si>
    <t>Vazquez, Juan</t>
  </si>
  <si>
    <t>Juan Vazquez</t>
  </si>
  <si>
    <t>al Cadete D. Fernando Suarez, y al Sargento primero D. Josef Aranda: á- Alférezen el de Calatrava á D. Juan Vazquez; y á Portaestandarte al Sargento primero D. Josef Carbellido. En los de caballería ligera se ha servido igualmente el Rey promover á Teniente en el de cazadores de Pavía á D. Jose</t>
  </si>
  <si>
    <t>Vázquez, Manuel</t>
  </si>
  <si>
    <t>Manuel Vázquez</t>
  </si>
  <si>
    <t>. Antonio Pardo: á Tenientes de fusileros de los de Ecija y Cuenca á los Subtenientes de granaderos D. Manuel Vázquez y D. Pedro Almanzon: á Subtenientes, de granaderos dé los de Segovia y Chinchilla á los de fusileros. p.; Estéban Pastor y D! Francisco Breva y Salbajuna: y ha nombrado Subtenientes d</t>
  </si>
  <si>
    <t>enocal: á Teniente de granaderos ai de fusileros D. Gil Josef Pacot: á Tenientes ¿ los Subtenientes D. Manuel Vázquez , Don Francisco Acosta y D. Ramón Castellanos, los dos últimos de granaderos: á Subtenientes de granaderos á los de fusileros D. Francisco Ribera y D. Juan de Castro Palomino; y á</t>
  </si>
  <si>
    <t>Vázquez, Mateo</t>
  </si>
  <si>
    <t>Mateo Vázquez</t>
  </si>
  <si>
    <t>guo de ella: para otra, también Car-* denalicia, de la propia iglesia, vacante por fallecimiento de D. Mateo Vázquez, á D. Gerónimo del Valle, Abad y Cura Rector de S. Martin de Villarubin y sus anexos, en la misma diócesis de Orense: para una Ración de la colegial de Roa, diócesis de Osma, vaca</t>
  </si>
  <si>
    <t>Vega y Caballero, Juan Ignacio</t>
  </si>
  <si>
    <t>Juan Ignacio Vega y Caballero</t>
  </si>
  <si>
    <t>ra una Canongía de merced de la catedral de la Puebla de los Angeles , vacante por fallecimiento de D. Juan Ignacio Vega y Caballero , á D. Lino Nepomuceno Gómez Galvan , Racionero de la. misma catedral: para esta Ración á D. Manuel María Moreno, Medio-Racionero de ella; y para esta resulta á D. Joaquín Antonio</t>
  </si>
  <si>
    <t>Veiarde, Pedro</t>
  </si>
  <si>
    <t>Pedro Veiarde</t>
  </si>
  <si>
    <t>ma, manual segundo, que sigue al primero de Ja Imitación de Jesucristo, traducido al castellano por D. Pedro Veiarde: un tomo en 8.° Se , venden en lá librería de Fernandez, frente á las gradas de S. Felipe. Instrucción para los niños, ó Consejos de un padre á su hijo, imitación de los versos qu</t>
  </si>
  <si>
    <t>Vejarano Galavis y Nidos, Jacinto</t>
  </si>
  <si>
    <t>Jacinto Vejarano Galavis y Nidos</t>
  </si>
  <si>
    <t>de Santa Marta de la Catedral de Astorga, vacante por fallecimiento de D. Alonso Rivero y Larrea, á D. Jacinto Vejarano Galavis y Nidos, Cura Párroco de la villa de Arévalo en la Diócesi de Avila: para una Ración de la de Valiadolid, por muerte de D. Pedro Román, á_D. Josef Orejón, Cura de la Parroquial de S. Beni</t>
  </si>
  <si>
    <t>Velarde, Pedro</t>
  </si>
  <si>
    <t>Pedro Velarde</t>
  </si>
  <si>
    <t>fe de brigada, graduado de Teniente Coronel, D. Juan de Areco; á Capitanes segundos á los Tenientes D. Pedro Velarde y D. Josef Arguinzonis, y á Tenientes á los Subtenientes D. Josef Domínguez y D. Juan Estelíer. También se ha servido conferir el Rey el empleo de Teniente de Artilleros á caballo al</t>
  </si>
  <si>
    <t>Velasco, Ambrosio</t>
  </si>
  <si>
    <t>Ambrosio Velasco</t>
  </si>
  <si>
    <t>y los seminaristas D. Josef Martínez, IX'Manuel Fernandez, su hermano D. Josef, D. Bernabé Otalora, D. Ambrosio Velasco y D. Manuel Cámara. Y es también digno de publicarse, que el Cadete de Reales Guardias Walonas D. Josef de Castro no perdió el derecho á este premio sino porque sola una vez estuvo de</t>
  </si>
  <si>
    <t>Velasco, Francisco</t>
  </si>
  <si>
    <t>Francisco Velasco</t>
  </si>
  <si>
    <t>ialla mejorada; cuvas dos partidas componen 686,436 rs. 16 mrs. Quien quisiere comprarlas acudirá á D. Francisco Velasco, que vive en la calle de los Reyes, n(un. 5 , manz. 530, quarto principal. Quien qubi-ere vender en el territorio de Castilla la vieja, en un solo pedazo, '•300 á 600 obradas de t</t>
  </si>
  <si>
    <t>Velazquez</t>
  </si>
  <si>
    <t>s dos se-* gundos en los de secciones cónicas , cálculos dií^n cial é integral, habiendo sufrido el Dr. Velazquez examen particular t ambién en las citadas primeras materias. D. Josef Albín, alumno ^¡¡laclase de mecánica, presentó una máquina que ha inventado para^ Jrflr cartabones , de la que</t>
  </si>
  <si>
    <t>Velazquez Zurita, Nicolás</t>
  </si>
  <si>
    <t>Nicolás Velazquez Zurita</t>
  </si>
  <si>
    <t>rero, ambas de segunda clase: para la de Uclés á Don Josef Martínez del Corro: para la del Toboso á D. Nicolás Velazquez Zurita, estas de primera clase: para la de Hornachos á D. Andrés Amat y Robles; y para el Corregimiento de Guadalcanal á D. Ciro de Meneses y Camacho, las dos de segunda clase, y todas e</t>
  </si>
  <si>
    <t>Velazquez, Francisco Xavier</t>
  </si>
  <si>
    <t>Francisco Xavier Velazquez</t>
  </si>
  <si>
    <t>bteniente de ella D. Antonio Flores; y á Subteniente de, dicha compañía al Sargento primero de ella D. Francisco Xavier Velazquez. En la villa de Comillas, puerto del mar de Cantabria, á corta distancia de Santander, se ha establecido de Real orden un Colegio para educación é instrucción de la juventud al cu</t>
  </si>
  <si>
    <t>Velez Escalante, Francisco</t>
  </si>
  <si>
    <t>Francisco Velez Escalante</t>
  </si>
  <si>
    <t>la Canongía magistral de la colegiata de Ntra. Sra. de Guadalupe de México, vacante por ascenso de D. Francisco Velez Escalante á la Dignidad de Abad de la propia colegiata, al Dr. D. Pedro Pascasio de Herce, Rector del Seminario Tridenuno de aquella ciudad: para una Ración de la catedral de Valladolid de</t>
  </si>
  <si>
    <t>Venero, Pedro</t>
  </si>
  <si>
    <t>Pedro Venero</t>
  </si>
  <si>
    <t>del Castillo: Tenencias en el de Valencia á los Subtenientes de granaderos Don Francisco dei Rio y D. Pedro Venero: en el de America al Subteniente D. Juan Manuel de Blas: Subtenencias de bandera en el de Sevilla al Cadete del Fixo de Ceuta D. Antonio Novoa: en el de Granada al Cadete D. Luis</t>
  </si>
  <si>
    <t>Venut-Bifdt</t>
  </si>
  <si>
    <t>reloxes de oro, caxas para tabaco, telas exquisitas, gran cantidad de licores, y dulces secos. / . Mr. Venut-Bifdt, Ministro del Rey de Suecia, presentó ¿ la Dieta de Ratisbona el 26 del pasado la nota siguiente: ,,En vista de la nota remitida ¿ la Dieta general del Imperio Germánico por las l</t>
  </si>
  <si>
    <t>Vera, Joaquín</t>
  </si>
  <si>
    <t>Joaquín Vera</t>
  </si>
  <si>
    <t>ca de los derechos que deberán pagar los paños de Sta. Colomba en Francia, que presentó al despacho D. Joaquin Vera, respecto á no hallarse com.prehendidos en el arancel; se ha servido resolver que los de color adeuden 238 mrs. en vara , y 357 los tinte en granad’ Y lo traslado á V. S. para que</t>
  </si>
  <si>
    <t>Verdinois, Francisco</t>
  </si>
  <si>
    <t>Francisco Verdinois</t>
  </si>
  <si>
    <t>al Cadete D. Joseph Quiñones; á'Cadetes de número al supernumerario D. Francisco Sanz, y al Guardia D. Francisco Verdinois, y á Cadete supernumerario al Guardia D. Eduardo ;CIavijo; y en la Compañía Flamenca del mismo Real cuerpo ha promovido tambien á Cadete supernumerario al Guardia D. Antonio de Ag</t>
  </si>
  <si>
    <t>Verdugo, Vicente Lorenzo</t>
  </si>
  <si>
    <t>Vicente Lorenzo Verdugo</t>
  </si>
  <si>
    <t>nfirió la secretaría al que sirviese la de la junta general de Caridad, que hoy se halla á cargo de D. Vicente Lorenzo Verdugo, Caballero de la Real y distinguida Orden Española de Cárlos nr, del Consejo de S. M., su Ministro en el Tribunal mayor de cuentas, Secretario del Rey nuestro Señor, y mayor, perp</t>
  </si>
  <si>
    <t>Verhuei, Almirante</t>
  </si>
  <si>
    <t>Almirante Verhuei</t>
  </si>
  <si>
    <t>en donde ha tratado con el General Marmont sobre algunos puntos de su encargo. Se cree que el Vice-Almirante Verhuei se detendrá poco tiempo en esta ciudad. Fueron muy animados, los debates que hubo eri 27 en la ultima junta general del Cuerpo Legislativo, con motivo de los resarcimientos .del P</t>
  </si>
  <si>
    <t>Verhuel, Almirante</t>
  </si>
  <si>
    <t>Almirante Verhuel</t>
  </si>
  <si>
    <t>c fie Jales de nuestra marina han salido de orden del gobierno para Ostende, á las órdenes del Vice-Almirante Verhuel, quien por el</t>
  </si>
  <si>
    <t>turaleza; pero no asegurarémos que esté ya firmado. ■ HOLANDA. Uaya go de Agosto. Desde que el Vice-Almirante Verhuel y algunos oficiales de su estado mayor se hallan aquí, son mas freqüentes las conferencias del Consejo 4e Marina; y aun hay días en que se juntan dos ó tres veces___El Contra-Almira</t>
  </si>
  <si>
    <t>ivo terminó ayer su sesión extraordinaria, y se tvolverá á juntar el 15 de Octubre próximo. F1 Vice-Almirante Verhuel ha salido de aquí para retirarse á su puesto. Parece que el objeto principal de su misión ha sido solicitar de nuestro gobierno un nuevo contingente de 7 navios de línea, desde 54</t>
  </si>
  <si>
    <t>mponen las dos primeras partes de la esquadrilla Bátava se hallan en nuestra rada á las órdenes del Almirante Verhuel. Hemos tenido recios temporales, durante los quales se han mantenido en la rada sin experimentar ningún daño. Bol día 27 de Octubre. El bergantín Ingles , apresado después del com</t>
  </si>
  <si>
    <t>baterías de tierra. Hemos tenido 6 heridos, de ios quales uno ha muerto de. sus heridas. Escribe el Almirante Verhuel que una división de la esquadrilla Bátava, que salió de Ostende,ha combatido con una división Inglesa , y la. ha apresado un bergantín: des-pues de lo qual ha entrado en la rada d</t>
  </si>
  <si>
    <t>Verhuell, Almirante</t>
  </si>
  <si>
    <t>Almirante Verhuell</t>
  </si>
  <si>
    <t>igo civil, y de otros proyectos de leyes. El Monitor del 17 trae el artículo siguiente. ,,El Contra-Almirante Verhuell,comandante de la flotilla bátava, salió con una división, de la rada de Flesinga,el dia 12. Un Contra-Almirante ingles , con 16 nayíos, uno de ellos de tres puentes, y varias frag</t>
  </si>
  <si>
    <t>en el andar , se alejaron, no sin haber experimentado graves averías , y perdido mucha gente.—Si ei Almirante Verhuell hubiera tenido mas gente á bordo , habría condescendido á los clamóles de ios granaderos del regimiento 21, quienes pedían el abordage á las fragatas.__ Llegando la flotilla delan</t>
  </si>
  <si>
    <t>Veza, Juan Bautista</t>
  </si>
  <si>
    <t>Juan Bautista Veza</t>
  </si>
  <si>
    <t>uela de dibuxo en el día 17 de Junio, habiendo correspondido los 4 ordinarios á D.-Rarntin Guillen, D. Juan Bautista Veza, D. Joaquín Hernández y D. Francisco Clemente: y á D. Josef Peirot y D. Fernando Bermudez los s extraordinarios , que han costeado el Marques de Beniel y D. Ambrosio Alvarez, habi</t>
  </si>
  <si>
    <t>Viado, Joaquín</t>
  </si>
  <si>
    <t>Joaquín Viado</t>
  </si>
  <si>
    <t>María Dana» D. Josef Gortines , DvVicente Sancheg, !&gt;•' Joaquín de la Cruz, Don Rafael del Barrio , D. Joaquín Viado, D. Ignacio OrdoVas, D. Luis Cantío Montenegro y D. Miguel Santiilana. Por el Exento. £r. Conde de Montarco , Gobernador del Consejo, se ha comunicado &gt; con fecha-de 24'de Mayo &gt;</t>
  </si>
  <si>
    <t>Vial, General</t>
  </si>
  <si>
    <t>General Vial</t>
  </si>
  <si>
    <t>al de la Mancha , así como las tropas que se han juntado en las costas. París t$ de Diciembre. t El General Vial , ex-Ministro de la República francesa en Malta, reemplaza at General Ney en Suiza. " ( La biblioteca nacional se ha enriquecido con un libro muy raroyel qual no se encuentra anun</t>
  </si>
  <si>
    <t>tres gobiernos cantonales respectivos. Tenemos noticias positivas de que llegará pronto á Berna el General Vial, nuevo Ministro de la República francesa cerca de la Suiza. El gobierno del cantón de S. Gall es digno de los mayores elogios, pues su conducta sabia y moderada dedica en el dia s</t>
  </si>
  <si>
    <t>Marzo. Se ha hecho con la mayor solemnidad la ceremonia de la presentación de las credenciales del General Vial. Todas las tropas urbanas estaban sobre las armas, y el cuerpo franco, que es escogido , se formo delante de la casa del General, mientras los otros hacían lo mismo delante de la</t>
  </si>
  <si>
    <t>Vial, Martín</t>
  </si>
  <si>
    <t>Martín Vial</t>
  </si>
  <si>
    <t>cial Alfaro , D. Martín Vial y D. Luis Lanongarede. El Rey se ha servido conferir el empleo de Sobrestante Pagador de la Maestranza de Artillería de Segovia á D. Josef Godinez Paz. En el Real cuerpo de Ingenieros</t>
  </si>
  <si>
    <t>Viana y Achucarro, Francisco</t>
  </si>
  <si>
    <t>Francisco Viana y Achucarro</t>
  </si>
  <si>
    <t>Novoa y Gayoso , D. Toribio Salcedo, D Francisco García Fiorez , D. Tomas Cervino, D, Josef Muller, D. Francisco Viana y Achucarro, D. Antonio Doral y Anuncibay. El Rey se ha servido nombrar Auditor de Guerra del exército y Capitanía general de la costa de Granada á D. Ramón Josef Molino. En ei batallón de in</t>
  </si>
  <si>
    <t>Viannello, Capitán</t>
  </si>
  <si>
    <t>Capitán Viannello</t>
  </si>
  <si>
    <t>ros. ITALIA. Venecia 79 de Setiembre. Tres dias hace que llegó aquí de Corfú el buque Veneciano del Capitán Viannello, y por cartas que ha traido de aquella isla se* sabe que hay en su puerto 9 navios de guerra Rusos y 3 Otomanos. Las tropas Rusas ascienden á ij0 hombres, y esperan todavía otros</t>
  </si>
  <si>
    <t>Vicario, Simón Antonio</t>
  </si>
  <si>
    <t>Simón Antonio Vicario</t>
  </si>
  <si>
    <t>ual-empleo en las disciplinadas de Pardos de Valles de Aragua.al Subteniente veterano de infantería D. Simón Antonio Vicario; y para una Subtenencia de las de Blancos de la misma ciudad á D. Domingo Aivarez, Regidor de la de Caricas. En el Regimiento de infantería de Buenos-Ayres se ha servido el Rey pr</t>
  </si>
  <si>
    <t>Vicent, Joaquín</t>
  </si>
  <si>
    <t>Joaquín Vicent</t>
  </si>
  <si>
    <t>o de la parroquial de la villa de Castellón de la Plana, diócesis de Tortosa, vacante por muerte de D. Joaquín Vicent, á D. Marcelino Benet y Valis. Con ei fin de fomentar con el premio la aplicación y aprovechamiento en ios estudios de los caballeros Cadetes de los cuerpos de la infantería del e</t>
  </si>
  <si>
    <t>Vicente Alonso</t>
  </si>
  <si>
    <t>al ♦ para el Beneficio de S. Millan de Yecorá , eti él Arzobispado de Burgos, vacante por muerte de D. Vicente Alonso, á B. Joaquín Boltri: para ía; quarta Ptestamera de la Parroquia de S. Juan de la villa de Gibráléon, eñ el de Sevilla, vacante por fallecimiento de £&gt;. Basilio Zaragoza, á D. Man</t>
  </si>
  <si>
    <t>Vicente María</t>
  </si>
  <si>
    <t>rvido conferir Compañías en el regimiento de infantería de Murcia al Teniente, graduado de Capitañ, D. Vicente María</t>
  </si>
  <si>
    <t>Víctor Antonio Glutz</t>
  </si>
  <si>
    <t>los regimientos de infantería Suizos ha nombrado el Rey Subtenientes: en el de Schwaller al Cadete D. Víctor Antonio Glutz: en el ambulante de Ruttimán al Cadete D. Santos Cremona: en el de Reding á los Sargentos primeros D. Matías Neuman y D. Carlos Sinner,y á ios Cadetes D. Pedro Jayme Rey y D. Jose</t>
  </si>
  <si>
    <t>Víctor Rascón Cornejo</t>
  </si>
  <si>
    <t>acienda; y hallándose vacante por fallecimiento de D. Manuel Marco, ha venido S. M. en conferirla á D. Víctor Rascón Cornejo. Asimismo ha venido S» M. en conceder los honores del referido Consejo de Hacienda á D. Francisco González de Estéfani, Comisario Ordenador que ha sido de sus Reales exércitos, y</t>
  </si>
  <si>
    <t>Víctor Salcedo, Coronel</t>
  </si>
  <si>
    <t>Coronel Víctor Salcedo</t>
  </si>
  <si>
    <t>y se ha dignado conferir el Gobierno de Santa Marta, en el Vireynato del Nuevo Reyno de Granada, al Coronel Don Víctor Salcedo, Gobernador que era deAntioquia: y el de esta provincia ai Teniente Coronel D. Francisco de Ayala , Gobernador que era del Darien del Sur; y la Comandancia del castillo de S. Cárl</t>
  </si>
  <si>
    <t>Víctor Schwendbiel</t>
  </si>
  <si>
    <t>a y D. Francisco Alegre ; y i Capitán segundo en el de Suizos de Ruttiman al Teniente dé granaderos D. Víctor Schwendbiel. / -: En el:Real cuerpo de Ingenieros del exército ha promovido el Rey á Coronel á D. Manuel Pueyo ^Teniente Coronel; á este empleo al Coronel graduado D. Antonio Benavides , Sarg</t>
  </si>
  <si>
    <t>Víctor Vinader</t>
  </si>
  <si>
    <t>i, D. Ramón Rato, Don Roque Diaz,D. Miguel Daza,D. Diegf ]fadara,D. RamónTrullol, Don Juan Olaegui, D. Víctor Vinader, D.,.Vicente de Lago, D. Pedro Landazuri, D. Joaquín de Soroa, D. Adriinti.Morquecho, D. Bartolomé Arguelles, D. Fernando Becerra, D. Rafkl Bovadillo, D. Josef Mendivil, I). Anton</t>
  </si>
  <si>
    <t>Víctores Navajas</t>
  </si>
  <si>
    <t>niente de granaderos al de fusileros L). Francisco de Vera: á Teniente al Subteniente de granaderos D. Víctores Navajas; y á Subteniente de bandera al Cadete D. Mariano Soto y Llano. El Teniente de Navio D. Agustín Blondo Zavala, segundo Comandante de la fragata de S. M. ^nombrada Anfitrite, ha dad</t>
  </si>
  <si>
    <t>Victorica, Miguel</t>
  </si>
  <si>
    <t>Miguel Victorica</t>
  </si>
  <si>
    <t>nte. Iin ia cátedra de economía civil, obtuvieron el premio de primera clase D. Antonio de la Pena, D. Miguel Victorica , D. Andrés Trevilla, D. Ignacio Blanco Hervas, D. Josef Cabeza y D. Josef Bravo Bermudez. El premio de segunda clase le obtuvieron D. Tomas Araujo y D. Francisco Cantala.piedra :</t>
  </si>
  <si>
    <t>Vidal, Francisco</t>
  </si>
  <si>
    <t>Francisco Vidal</t>
  </si>
  <si>
    <t>a ciudad de Barcelona, afecta al oficio de Sochantre, vacante por renuncia de D. Miguel Agramunt, á D. Francisco Vidal: para un Beneficio de la parroquia de S. Pedro de las Puellas, de la ciudad de Barcelona, vacante por fallecimiento de D. Francisco Gali, á D. Josef Dejes. El Rey se ha servido co</t>
  </si>
  <si>
    <t>Viejo-Bueno, Joaquín</t>
  </si>
  <si>
    <t>Joaquín Viejo-Bueno</t>
  </si>
  <si>
    <t>asa de vacunación, provista de camas y utensilios , de los sirvientes precisos, á cargo de los Drs. D. Joaquín Viejo-Bueno y D. Juan García en la parte facultativa, y para el gobierno económico de una junta de sugetos ilustrados y zelosos que preside; en la qual se executan periódica y gratuitamente las o</t>
  </si>
  <si>
    <t>Vielsa y Cocon, Tomás</t>
  </si>
  <si>
    <t>Tomás Vielsa y Cocon</t>
  </si>
  <si>
    <t>luguera , D. Joaquín Gayoso y D. Josef Borlascá; y en el de Zamora Subtenencia de bandera al Cadete D. Tomas Vielsa y Cocon. El Rey se ha servido conceder Subtenencias de bandera en el regimiento de infantería de Hibernia á los Cadetes D. Bernardo de León y Moya y D. Andrés Rodríguez; y en el de Améric</t>
  </si>
  <si>
    <t>Vigil, Joaquín</t>
  </si>
  <si>
    <t>Joaquín Vigil</t>
  </si>
  <si>
    <t>Josef Crespo: á Capitán á D. Josef Sauri, Subteniente de granaderos: á esta resulta al de fusileros D. Joaquín Vigil; y á Subteniente de bandera al Cadete D. Juan Fernandez de Lara : y en el batallón de la misma clase de-Puerto-Príncipe ha promovido á Subtenientes á los de bandera D. Pedro de la</t>
  </si>
  <si>
    <t>Viiianueva, Manuel</t>
  </si>
  <si>
    <t>Manuel Viiianueva</t>
  </si>
  <si>
    <t>graduado de Gapitan, D. Josef Lamas; y en el de Extremadura á Teniente al Subteniente de granaderos D. Manuel Viiianueva. Al Teniente Coronel D. Marcelino Prat, Sargento mayor de la plaza é isla de Tenerife, ha concedido el Rey grado de Coronel de infantería. En América. S. M. se ha servido nombrar</t>
  </si>
  <si>
    <t>Viilalta, Manuel</t>
  </si>
  <si>
    <t>Manuel Viilalta</t>
  </si>
  <si>
    <t>940 Ausel; y Tenencia al Subteniente D. Manuel Viilalta: en el de América Ayudantía al Teniente D. Francisco Plasencia; y en los de Guadalaxara y Voluntarios de Castilla Subtenencias de bandera á los Cadetes 0. Joaquín Valdivieso y D.</t>
  </si>
  <si>
    <t>Vilana, Antonio</t>
  </si>
  <si>
    <t>Antonio Vilana</t>
  </si>
  <si>
    <t>868 D. Antonio Vilana: para otro de la catedral de Gerona, vacante por muerte de D. Antonio Ribas, á D. Clemente Casellas; y para otro de la misma iglesia, vacante por renuncia de D. Jayme Rui, á D. Pa</t>
  </si>
  <si>
    <t>Villafranca, Antonio</t>
  </si>
  <si>
    <t>Antonio Villafranca</t>
  </si>
  <si>
    <t>el Regimiento de infantería de Córdoba Tenencias á ios Subtenientes de granaderos P. Josef Conesa y Don Antonio Villafranca: Subtenencia de bandera en el de Jaén al Cadete D. Antonio de Padna Gay te: Tenencia en el batallón de Voluntarios de Valencia al Subteniente D. Francisco Xavier Parayuelo; y el e</t>
  </si>
  <si>
    <t>Villagrasa, Antonio</t>
  </si>
  <si>
    <t>Antonio Villagrasa</t>
  </si>
  <si>
    <t>á D. Vicente de la Puente, Racionero de la misma: para otra de la propia iglesia, por promoción de Don Antonio Villagrasa á una de la de Zaragoza, á D. Martin Ramírez, Capitán de infantería, y Teniente que ha sido del Cuerpo de Ingenieros Cosmógrafos : para otra de la colegial de S; Hipólito de Córdo</t>
  </si>
  <si>
    <t>Villalobos, Manuel</t>
  </si>
  <si>
    <t>Manuel Villalobos</t>
  </si>
  <si>
    <t>ael de Eslava , Medio-Racionero de eliajly para el Préstamo de S. Morales, Diócesis de Salamanca, á D. Manuel Villalobos , concediéndole permiso para que pueda impetrar de la Santa Sede la correspondiente dispensa'de menor edad para su obtención. El rRÉ y «íe Ea servido conferir Compañí-a en el-Regi</t>
  </si>
  <si>
    <t>Villalonga, Pedro</t>
  </si>
  <si>
    <t>Pedro Villalonga</t>
  </si>
  <si>
    <t>r para la Pabordía de Maestro de Ceremonias de la Catedral de Menorca, vacante por fallecimiento de D. Pedro Villalonga, á D. Miguel Neto. En el Regimiento de infantería de Córdoba se ha servido S. M. promover á Ayudante al Teniente, graduado de Capitán , D. Francisco Wanherek, y á Teniente al Subt</t>
  </si>
  <si>
    <t>Villar, Juan</t>
  </si>
  <si>
    <t>Juan Villar</t>
  </si>
  <si>
    <t>ía, que en la Iglesia de Ciudad- Rodrigo ha resultado vacante por muerte de D. Bernardo Ruibamba, á D. Juan Villar, Capellán del quarto Regimiento del Real Cuerpo de Artillería, en consideración á sus servicios, y conforme al Reglamento de 30 de Enero último. El Rey se ha servido promover en e</t>
  </si>
  <si>
    <t>Villarejo Ramírez de Arellano, Carlos</t>
  </si>
  <si>
    <t>Carlos Villarejo Ramírez de Arellano</t>
  </si>
  <si>
    <t>inos, sin tener, el Médico contribución ni gabela alguna contra sí. Se dirigirán las pretensiones i D, Carlos Villarejo Ramírez de Arellano, Caballero de la orden de Calatrava, Maestrante de Ronda, y Alcalde mayor de aquella villa. En Villaseca de la Sagra, 4 leguas del Real sitio de Aranjuez, está vacante la plaza de</t>
  </si>
  <si>
    <t>VillaretJoyeuse, Almirante</t>
  </si>
  <si>
    <t>Almirante VillaretJoyeuse</t>
  </si>
  <si>
    <t>odos los buques que intentasen entrar en Tos puertos de esta colonia, así como los que saliesen, el Almirante VillaretJoyeuse,Capitan general de la Martinica, ha escrito al Gobernador de la isla deS.to, Tomas,y á los principales agentes de las potencias:neutras en las Antillas,una carta cuyo objeto es di</t>
  </si>
  <si>
    <t>Villarman, Juan</t>
  </si>
  <si>
    <t>Juan Villarman</t>
  </si>
  <si>
    <t>20, quarto 3.0, quien enterará de las condiciones y demas que fuere pseciso. D. Raymundo Forcatera, D. Juan Villarman y compañía, D. Juan Majuelo y D. Josef de Zavalveitia, vecinos de Bilbao, ó que comerciaron en aquella plaza por los años de 1760, eran acreedores á cierta casa de dicha villa por d</t>
  </si>
  <si>
    <t>Villaroel, Lorenzo</t>
  </si>
  <si>
    <t>Lorenzo Villaroel</t>
  </si>
  <si>
    <t>e de las Carretas. = En la misma de Fuentenebro se halla también el Con-de D. García, tragedia, por D. Lorenzo Villaroel. Quaderno 2° y 3.0 de las Fábulas en verso castellano, por D. Félix María Samaníego, adornadas con las 20 estampas que corresponden ai libro 2.° Se vende a 12 rs. en las librerías</t>
  </si>
  <si>
    <t>Villaroel, Lorenzo María</t>
  </si>
  <si>
    <t>Lorenzo María Villaroel</t>
  </si>
  <si>
    <t>a edición. Se hallará en la librería de Campo, calle de Alcalá. Ana Bolena: tragedia en g actos por D. Lorenzo María Villaroel: segunda cclír clon. Se hallará en la librería de Gómez Fuentenebro, calle de las Carretas. En.la librería de Arribas, calle de jas Carretas, se hallan de venta las obras de músic</t>
  </si>
  <si>
    <t>Villaverde, Manuel</t>
  </si>
  <si>
    <t>Manuel Villaverde</t>
  </si>
  <si>
    <t>drid.. 2904.. 2 5 Juan Perez............................ S. Pablo............................... 14 D. Manuel Villaverde, SarJuan Caro.............................. Dos barrios........................ 1^ gento segundo.................. Castromocho........ ........... 425.. 6 Gavino Aguilera.........</t>
  </si>
  <si>
    <t>Villavicencio García, Joaquín</t>
  </si>
  <si>
    <t>Joaquín Villavicencio García</t>
  </si>
  <si>
    <t>tomos en folio. 2.0: D. Luis de los Ríos: Bails, Elementos de matemáticas, 3 tomos en 4.0 Accessit: D. Joaquín Villavicencio García: Elementos de matemáticas, 2 tomos en 8.°__ Matemáticas, 2.0 año. i.°: D. Juan de Salazar: Bails , Matemáticas, la obra grande, 11 tomos en 4.0 2.0: Don Antonio Palacio: Eximen ma</t>
  </si>
  <si>
    <t>Villavicencio, Francisco</t>
  </si>
  <si>
    <t>Francisco Villavicencio</t>
  </si>
  <si>
    <t>ga, D. Josef de León, D. Luis Pardo, D. Josef Chacón, D. Martin de la Quintana, D. Cayetano Picado, Don Francisco Villavicencio, D. Luis de Basave, D. Francisco de la Lastra, D. Felipe Saavedra, D. Josef Melgares, D.. Alonso Ramírez , D. Antonio Osorio, D. Manuel Alyarez, D. Bartolomé Pita Daveyga, D. Luis</t>
  </si>
  <si>
    <t>Villavicencio, Manuel María</t>
  </si>
  <si>
    <t>Manuel María Villavicencio</t>
  </si>
  <si>
    <t>ndio Ortografía castellana, Moneda, Expedición.___Rudimentos de gramática castellana y latina. i.°: D. Manuel María Villavicencio: Diccionario de la lengua castellana. 2.0 : D. Angel Saavedra: Cervantes, Quixote,6 tomos en 12.a de la imprenta Real. Accessit: D. Josef Chacón: Comentarios de César, traducción</t>
  </si>
  <si>
    <t>Accessit: D. Manuel Perero: Fenelon, Aventuras de Telémaco, 2 tomos en 8.°__ Lengua francesa. i.°: D. Manuel María Villavicencio: Racine, Tragedias, 4 tomos en 8.° 2.0: D. Josef Isla: Eafontaine, Fábulas, 4 tomos en 8.® con estampas.__ Dibuxo. i.°: Don Serapio de la Hormaza : Principios del diseño en francé</t>
  </si>
  <si>
    <t>Villegas, Francisco</t>
  </si>
  <si>
    <t>Francisco Villegas</t>
  </si>
  <si>
    <t>7S4 y Alvarez , D. Francisco Villegas y D. Francisco Cantalapiedra, tocó al primero, declarándose á Villegas y Cantalapiedra beneméritos por su aprovechamiento en la geografía. En la escuela de costura , de Doña Gregoria</t>
  </si>
  <si>
    <t>Villerías, Manuel</t>
  </si>
  <si>
    <t>Manuel Villerías</t>
  </si>
  <si>
    <t>. S. M. se ha dignado nombrar Ayudante veterano del regimiento de infantería provincial de México á D. Manuel Villerías, Teniente de granaderos del mismo cuerpo. En el mes de Diciembre último el mayor calor en Madrid ha sido de 12,1 grados de Reaumur el dia 30; y el menor de 2,1 grad. debaxo de cer</t>
  </si>
  <si>
    <t>Villoison</t>
  </si>
  <si>
    <t>una nueva sesión, en la que se han elegido varios miembros, y entre ellos á los ciudadanos Villoison , Anquetil, Silvestre de Sacy, Larclier, Langles, Ameilhon, Pasou , Houdon, David, Renaud, Vincent, Suvee, Gerard , Guerin &amp; c. El Juri de acusación del distri</t>
  </si>
  <si>
    <t>Vinuesa, Claudio</t>
  </si>
  <si>
    <t>Claudio Vinuesa</t>
  </si>
  <si>
    <t>res: á Tenientes en los de la Princesa y Ordenes Militares á los Subtenientes D. Francisco ¿apena., D. Claudio Vinuesa y D. Juan Lu</t>
  </si>
  <si>
    <t>Viry</t>
  </si>
  <si>
    <t>ciudadanos presentados por el primer Cónsul para una plaza del mismo Senado al ciudadano Viry, Prefecto del departamento del Lys. Las 12 lanchas cañoneras que la República italiana solicitó se construyesen por su cuenta en los puertos de Francia, están</t>
  </si>
  <si>
    <t>Viscasülas, Antonio</t>
  </si>
  <si>
    <t>Antonio Viscasülas</t>
  </si>
  <si>
    <t>ente Cabeza de Vaca; y Conductor de artillería del tercer .regimiento del propio Cuerpo ai Sargento D. Antonio Viscasülas. Deseando S. *M. , por un efecto de su'so'berana¿consideración, conciliar con el estado actual del Real erario y sus obligaciones , los intereses de los accionistas de los Reales</t>
  </si>
  <si>
    <t>Viüavicencio, Antonio</t>
  </si>
  <si>
    <t>Antonio Viüavicencio</t>
  </si>
  <si>
    <t>D. Antonio Viüavicencio, D. Josef Delgado, D. Joaquín Miaño, Don Diego Ponce de León, D. Nicolás Rubín, D. Joaquin Sánchez, D. Rafael de Lobo, D. Francisco Leceta, D. Manuel Ocarol, Dv x\ntonio Magadan,</t>
  </si>
  <si>
    <t>Vivanco y Yun, Joaquín</t>
  </si>
  <si>
    <t>Joaquín Vivanco y Yun</t>
  </si>
  <si>
    <t>y Ferran, D. Luis *Lardizabal y Montoya, D. Josef Medrano y Treviño, D. Joaquin Escario y Carrasco, D. Joaquin Vivanco y Yun , D. Pedro Ortiz de Zarate y Ara , D. Juan Bravo de Rivero, D. Josef González de Merino, D. Bernardo Gil de Ledesma y Seix , D. Josef Santiago Arias de Saavedra, Don Ignacio de Cá</t>
  </si>
  <si>
    <t>Vizcaíno, Francisco</t>
  </si>
  <si>
    <t>Francisco Vizcaíno</t>
  </si>
  <si>
    <t>de Aragón á D. Pedro Gacet, y al de igual clase del de España D. Luis Coquelin: en el de América á Don Francisco Vizcaíno: en el de la Princesa á D. Ramón Corrales: en el de Extremadura á-D. Blas San Millan, D. Fernando Rugidos y á D. Rodrigo Flores Picón: en ei de Málaga á D. Manuel Moreno, D. Pascu</t>
  </si>
  <si>
    <t>Vizcayno Pérez, Vicente</t>
  </si>
  <si>
    <t>Vicente Vizcayno Pérez</t>
  </si>
  <si>
    <t>o de la jurisdicción ordinaria para dirección y guia de los Alcaldes de los pueblos de España : por D. Vicente Vizcayno Perez: un tomo en 8.° Se hallará en casa de Baylo, calle de las Carretas. Voz de la naturaleza: memorias ó anécdotas curiosas é instructivas: su autor D. Ignacio García Malo: 7 tomos en</t>
  </si>
  <si>
    <t>Vizcayno, Francisco Mateo</t>
  </si>
  <si>
    <t>Francisco Mateo Vizcayno</t>
  </si>
  <si>
    <t>a un Beneficio vacante en la Parroquial de S. Andrés de la ciudad de Valencia,ipor fallecimiento de D. Francisco Mateo Vizcayno, á D. Joaquín Ortólá ; y para el Oficio regular de Enfermero del Real Monasterio de S. Pedro de Rodas de la Congregación Benedictina claustral Tarraconense, á D.'Fr. Juan de Masso</t>
  </si>
  <si>
    <t>Vizconde de las Torres de Luzon</t>
  </si>
  <si>
    <t>e halla en esta ciudad. En la noche de dicho dia se sirvió en las casas del Sr. Vizconde de las Torres de Luzon, Teniente de S. A. R., un exquisito y abundante refresco, concurriendo á él la nobleza de ambos sexos, y oficialidad de varios cuerpos, siguiéndose después orquesta y bayl'e, que duró hasta</t>
  </si>
  <si>
    <t>VUlalba y Francisco García, Manuel</t>
  </si>
  <si>
    <t>Manuel VUlalba y Francisco García</t>
  </si>
  <si>
    <t>,D. Francisco González y D. Francisco Diaz, y á los de bandera D. Julián Padilla, D. León Torralbo, D. Manuel VUlalba y Don Francisco García;y áSubtenientes de banderaá los agregados D. Nicolás Sabifion, graduado de Teniente, D. Josef López, D* Silvestre Ramírez y D. Felipe Carvajal, al Sargento primero de granaderos D</t>
  </si>
  <si>
    <t>VVilberforce</t>
  </si>
  <si>
    <t>mes secretos son tan peligrosos en política, que no deben admitirse sin una necesidad demostrada. — Mr. VVilberforce piensa que deben examinarse separadamente los acontecimientos del 25 de Julio: que no tienen conexión alguna con la qiiestion presenté, y que renovándose á cada instante las causa</t>
  </si>
  <si>
    <t>VVoronzoÍT</t>
  </si>
  <si>
    <t>ayor parte de los efectos de la compañía, y destruir todo lo que pudiera caer en manos del enemigo. Mr. VVoronzoÍT, Embaxador de Rusia, ha recibido orden expresa dé su corte de permanecer en Inglaterra , de donde se disponía á partir para Petersburgo. Se han recibido en el Almirantazgo pliegos</t>
  </si>
  <si>
    <t>Waddel</t>
  </si>
  <si>
    <t>ondres Mr* Llvingston, Embaxador dé los EsT tados-TJnidos de América cerca del gobierno francés,, y Mr. Waddel. , El dia 17 ha nombrado el Se nido log suget-os que componen la comisión senatorial de la libertad deda prensa. Son Mrs. Jaucpur, Garat, Roederer, Chasset, Davoust, Demeunier y P</t>
  </si>
  <si>
    <t>WaiterBoyd</t>
  </si>
  <si>
    <t>Tindal, Corone} &amp;c._Dos personas de consideración han conseguido últimamente su libertad; á saber, Mr. WaiterBoyd, banquero; de Londres , que suministró caudales en la última guerra para la manutención de los prisioneros Franceses, y Mr. Carlos {orbes, Pintor</t>
  </si>
  <si>
    <t>Wallace</t>
  </si>
  <si>
    <t>reagh, el Duque deTortland, los Lores Hawkesbury, Cainb-, den., Harrowby, Mr.Pitt, Lord Glenbervié, Mr. Wallace, y Lord Dunlo. — También ha nombrado S. M. caballero de la orden del Baño á Mr. Arthur Paget-, su Enviado extraordinario en la corte de Viena. Dícese que Mr. Forster ha sido nombr</t>
  </si>
  <si>
    <t>Wanherek, Francisco</t>
  </si>
  <si>
    <t>Francisco Wanherek</t>
  </si>
  <si>
    <t>de infantería de Córdoba se ha servido S. M. promover á Ayudante al Teniente, graduado de Capitán , D. Francisco Wanherek, y á Teniente al Subteniente de granaderos D. Domingo Acevedo. S. M. se ha servido conceder Subtenencias en el Regimiento de infantería de la Corona á los Sargentos primeros D. To</t>
  </si>
  <si>
    <t>Ward, Bernardo</t>
  </si>
  <si>
    <t>Bernardo Ward</t>
  </si>
  <si>
    <t>ver los intereses de España, con los medios y fondos necesarios para su plantificación, escrito por D. Bernardo Ward, del Consejo de S. M., y su Ministro de la Real Junta de Comercio y Moneda: un tomo en 4.°c=rCarta del Conde Carli al Marques Maffeí, sobre el empleo del dinero, y discurso del mi</t>
  </si>
  <si>
    <t>Ware, General</t>
  </si>
  <si>
    <t>General Ware</t>
  </si>
  <si>
    <t>n na se saben todas las circunstancias; pero parece que han muerto varios oficiales, entre ellos el General Ware, los Mayores Griñiths, Campbell &amp;c. y muchos soldados. Antes de la noticia decisiva, el General Lake y las divisiones á sus órdenes habian conseguido muchas ventajas. El ij de Oct</t>
  </si>
  <si>
    <t>Washington, General</t>
  </si>
  <si>
    <t>General Washington</t>
  </si>
  <si>
    <t>co y del observatorio. El dia de Mayo se ha publicado en Londres el primer volumen de la vicia- del General Washington, escrita por Marshall: el manuscrito ha costado al librero que la publica en América 70® duros; y por la edición que publica en Londres el librero Philipps, ha pagado 1© guineas.</t>
  </si>
  <si>
    <t>s, fomentando con su exemplo la perniciosa 4 inmoral costumbre de los desafios. Desde la muerte del General Washington no ha habido ninguna pérdida que hayan lamentado mas los Americanos. Todos los Magistrados civiles y militares asistiéroná su entierro. Lord ILarrowby ha comunicado á los Ministro</t>
  </si>
  <si>
    <t>Waterhouse</t>
  </si>
  <si>
    <t>tema de Lin— neo, modificado, con exempios tomados de las plantas de la América Septentrional; y el Doctor Waterhouse, primer introductor de la vacuna en los Estados-Unidos , ha publicado un libro acerca de la posibilidad de extinguir las viruelas. TURQUIA. Buckarest 25 de Agosto. Hace ya mas de</t>
  </si>
  <si>
    <t>Wattenwyl</t>
  </si>
  <si>
    <t>ar ya en sus funciones de Land-Ammán, y será reemplazado el i.° de Enero por el ciud. Wattenwyl, primer Av&gt;yer del Cantón de Berna. Por esta mutación, la ciudad de Berna será durante el año venidero la ciudad directorial, en la qual residirán los Ministro</t>
  </si>
  <si>
    <t>Wattewille</t>
  </si>
  <si>
    <t>hivos helvéticos con una ésr4 coira considerable y 4 piezas de artillería.¿-—El ciud. Wattewille, Avo» ytr. del-cantón ,de Berna, y nuevo Land-Ammán de Suiza,.llego poco después al mismo lugar, acompañándole muchos miembros de su cantón / y una1 escolta es</t>
  </si>
  <si>
    <t>Wcis, Juan</t>
  </si>
  <si>
    <t>Juan Wcis</t>
  </si>
  <si>
    <t>, de granaderos, y D. Josef Bermudez de Castro: en el Suizo de Traxler al Subteniente de granaderos D. Juan Wcis; y ervel batallen de Voluntarios de Navarra al Subteniente, graduado de Capitán, D. Be.nno Lerzundi. También ha conferido S. M. el empleo de Capitán segundo en el ba.</t>
  </si>
  <si>
    <t>Weilesley, General</t>
  </si>
  <si>
    <t>General Weilesley</t>
  </si>
  <si>
    <t>circunstancias de la guerra que actualmente hacemos con los máratas. Se ve poi su contenido que el General Weilesley ha llevado cón grande actividad sus operaciones contra Seindea, á quien le ha tomado por asalto una de sus principales fortalezas, llamada Alemadnaghur. Se ignora nuestra pérdida;</t>
  </si>
  <si>
    <t>Welíesley, General</t>
  </si>
  <si>
    <t>General Welíesley</t>
  </si>
  <si>
    <t>bido ningún oficio de la victoria del 29 de Noviembre, conseguida en las, llanuras de Argaum por el General Welíesley , bien que se anuncia en los pliegos recibidos de Bombay. HOLANDA. Amsterdam 2/ de Abril. Desde ayer se asegura que el gobierno ha mandado formar un cam-* pamento en las cercanías</t>
  </si>
  <si>
    <t>Weliesley, General</t>
  </si>
  <si>
    <t>General Weliesley</t>
  </si>
  <si>
    <t>ma junta decretó se ofreciese una espada de 1500 libras esterlinas al General Lake, y otra de 1® al General Weliesley. La conquista de Se</t>
  </si>
  <si>
    <t>Weliesley, Lord</t>
  </si>
  <si>
    <t>Lord Weliesley</t>
  </si>
  <si>
    <t>serción de Scindia. Parece que podemos esperar se restablezca ia paz, y que el objeto principal del Lord Weliesley será destruir por ahora, y hacer muy difícil en adelante toda unión entre las potencias indias. Igualmente se han recibido noticias de Ceylan del 20 de Octubre. Los candios contin</t>
  </si>
  <si>
    <t>Wellesley de Bombay, General</t>
  </si>
  <si>
    <t>General Wellesley de Bombay</t>
  </si>
  <si>
    <t>le inmediatamente , y de reducirle á un estado en que no pueda ser temible. El 17 jde Mayo salió el General Wellesley de Bombay , dirigiéndose hacia Poonah, desde donde debia conducir sus tropas contra Holkar, al mismo tiempo que el Coronel Murray, Comandante del Guzarate, tenia orden de marchar en gran fu</t>
  </si>
  <si>
    <t>Wellesley, General</t>
  </si>
  <si>
    <t>General Wellesley</t>
  </si>
  <si>
    <t>ostenido por un ex ir cito del gobierno británico compuesto de 30© hombres, á las órdenes del Mayar General Wellesley, quien se ha dirigido á Poonah. La esqiiadra del Canal consta en el día de 20 navios de Já(téa9tré$ dé los quales son de 110 cañones, uño de 98 , tres de 80, y trece de 74, é igua</t>
  </si>
  <si>
    <t>D . . •&gt;&lt; DEL VIERNES 30 DE MARZO DE 1804. INDIA ORIENTAL. D Tranquebar 24 de Setiembre de 1803. El General Wellesley, que con un.exército considerable de europeos y de si^ayos, se había internado mucho en el país de losniáratas, se hx visto obligado á retirarse sin haber hecho nada por falta de</t>
  </si>
  <si>
    <t>394 feliz de las Operaciones contra Dowlut-Bow-Scindiá, por las fuerzas mandadas por el General Wellesley. Se asegura que Trinquemaia ha sido cercada en Setiembre por 20.000 Candios , quienes han conseguido muchas ventajas sobre nuestras tropas en las inmediaciones de aquella plaza. L</t>
  </si>
  <si>
    <t>recibió pliegas del Gobernador de Bombay, con fecha del 3 de Octubre de 1803, en que se dice que el General Wellesley acometió las fuerzas combinadas de Dowlut-Row Scindia, y del Rajah de Berar, el 23 del mismo, en las cercanías de las gargantas de Adjunty, con la división del exército baxo sus ó</t>
  </si>
  <si>
    <t>431 el ii de Agosto, por el General Wellesley, y con noticias de las operaciones de nuestro exército en Guzarate á las órdenes dei Coronel Mar-, ray.__-Algunas cartas particulares dan cuenta de las operaciones del exército de</t>
  </si>
  <si>
    <t>la frontera. GRAN BRETAÑA. Lóndres 14 de Abril. La gazeta de Madras del 15 de Octubre dice, que el General Wellesley cogió 103 cañones en la batalla de Assaye, dada el 23 de Setiembre. Añade la misma gazeta, que después de la toma de Agrá y de Delhi , se apoderó el General Lake de Muttra.__ El M</t>
  </si>
  <si>
    <t>e, de que ya se tenia noticia por algunas cartas particulares, se ha confirmado con la relación del General Wellesley, publicada en la gazeta de Calcuta de 25 de Diciembre. Habiendo ocurrido nuevas dificultades sobre varias condiciones del armisticio ajustado con Scindia el 22 de Noviembre, relat</t>
  </si>
  <si>
    <t>infantería del país, cuyas fuerzas ascienden á 10,500 hombres: en Allahabad 5500, á las órdenes del General Wellesley, y los auxiliares mandados por el Coronel Stevenson 16,823: en Ilyderabad 1917: en Poonah 1098: en Moodgul 4032: tropas acampadas en el Guzarate 4280: guarniciones en aquel país y</t>
  </si>
  <si>
    <t>s, y permanecerá encerrado durante dos años, igualmente que J. Agnew. El 17 de Diciembre de 1803 el General Wellesley ajustó un tratado de paz con el Rajah de Berar en nombre de la compañía de la India. El Rajah cede á la compañía en perpetua soberanía la provincia de Cuttack, incluso el puerto y</t>
  </si>
  <si>
    <t>ierra, con la noticia de que el Marques de Wellesley habia ratificado los tratados ajustados por el General Wellesley en nombre del Gobierno Británico con Doulat Rao Sandia, y el Raja de Berar---- Mr. Elfinstone ha sido nombrado Residente cerca de la costa del Raja de Berar.. FRANCIA. Taris Jj de S</t>
  </si>
  <si>
    <t>l Coronel Murray contra Holkar han padecido un descalabro ánte« que se le juntase el • exército del General Wellesley. La semana pasada se dixo que nuestras tropas habían conseguido una victoria en la India; pero ni de uno ni de otro suceso se tienen noticias seguras. En el estado en que se halla</t>
  </si>
  <si>
    <t>Wellesley, Lord</t>
  </si>
  <si>
    <t>Lord Wellesley</t>
  </si>
  <si>
    <t>ecir que esta respuesta no es satisfactoria, considerándola por otro aspecto. Las órdenes dadas por Lord Wellesley, de resultas de las quales empézáron las hostilidades en la costa de Malabar, deben haberse escrito en Junio, ó á principios de Julio próximo pasado , y ya nos hall-amos' á mediad</t>
  </si>
  <si>
    <t>Wenceslao del Pino</t>
  </si>
  <si>
    <t>Rry promover á Subtenientes de bandera á los Cadetes Don Bartolomé. Pizarro, D. Miguel del Pino, y D. Wenceslao del Pino, y á los Sargentos primeros D. Josef Molina , y D. Agustín Saumingue. Asimismo en el regimiento de dragones de México se ha servido S. M. promover á Teniente Coronel ai Sargento m</t>
  </si>
  <si>
    <t>Wenceslao Iíeredia</t>
  </si>
  <si>
    <t>la villa de Mengibar , en la propia Diócesi, vacante por muerte de D. Juan de Salazar y Porlier, á D. Wenceslao Iíeredia, concediéndole permiso para que pueda ocurrir á la Santa Sede en solicitud de dispensa de menor edad para su obtención; y para el de Móstoles, en el Arzobispado de Toledo, vacante</t>
  </si>
  <si>
    <t>Wenceslao Serrano</t>
  </si>
  <si>
    <t>e Soria, en la Diócesi de Osma, vacante por promoción de D. luán Antonio Ruiz á Canongía de ella, á D. Wenceslao Serrano, Cura de Dombellas , Santerbas y Canredondo , en la misma Diócesi: para el Beneficio simple servidero de la villa de Alcaudete, en el Obispado de faen, vacante por fallecimiento d</t>
  </si>
  <si>
    <t>Whitloeke, General</t>
  </si>
  <si>
    <t>General Whitloeke</t>
  </si>
  <si>
    <t>navios, que se aguardaban allí de un diá á otro, procedentes de Bengala , de Madras y de Bombay. El General Whitloeke, Gobernador de Portsmouth, há sido nombrado Comandante de las tropas de la isla de Wight. Se va á archivar en la torre de Londres la lista individual de todos los miembros del cue</t>
  </si>
  <si>
    <t>Wiebeking</t>
  </si>
  <si>
    <t>spués en Galitzia. Dicen que S. M. I. tiene intención de visitar este año las provincias de Italia. Mr. Wiebeking, director de puentes y calzadas, está de vuelta de su ▼iage de Trieste, y de los demas puertos austríacos. De resultas del informe que ha dado la corte, ha resuelto executar quant</t>
  </si>
  <si>
    <t>na, y otra hasta jononiz: trabaja en ellas la tropa acantonada en aquellas provincias, id Ingeniero Mr. Wiebeking, encargado de estas obras, y de los canales que se abren en Moravia, está ahora empleado en dar otro curso al rio deMarch, por el qual se llevan las mercancías de la Galitzia desd</t>
  </si>
  <si>
    <t>Wilberfoirce</t>
  </si>
  <si>
    <t>no adoptando un sistema justo, prudente y firme. —El Dr. Lawrence conviene en este último punto con Mr. Wilberfoirce ; pero cree que solo en caso de Invasión 6 nueva rebelión seria necesaria la ley marcial; porque siempre es peligroso suspender las leyes constitucionales. ,,Si ia justicia no est</t>
  </si>
  <si>
    <t>William Dundas</t>
  </si>
  <si>
    <t>que vienen de París. GRAN BRETAÑA. Londres ij de Mayo. El Rey ha nombrado Secretario de la Guerra á Mr. William Dundas. Ayer aespacháron por primera vez Lord Melville, el Almirante Gam* feieryr Mr. Dükenson, nuevos Lores del Almirantazgo. y ITALIA. Ñapóles 10 de Mayo. ■S. M. se ha dignado conceder</t>
  </si>
  <si>
    <t>Wimpffen, Luis</t>
  </si>
  <si>
    <t>Luis Wimpffen</t>
  </si>
  <si>
    <t>ha servido conferir el regimiento de infantería Suizo , vacante, de Schwaller, al Teniente Coronet D. Luis Wimpffen, Sargento mayor del mismo : el empleo de Capitán primero en el regimiento de Courten al Capitán de granaderos D. Eugenio de Courten; esta resulta al Capitán segundo D. Estanislao</t>
  </si>
  <si>
    <t>Windfaam</t>
  </si>
  <si>
    <t>horas se juntáron mas municiones de las que se habían necesitado en todo eL curso de la rebelión.__ Mr. Windfaam replicó que no concebía cómo podía pensar el honorable caballero que sus explicaciones satisfaciesen á las observaciones de su honorable amigó. ,,No se'reduce la qiiestion á saber</t>
  </si>
  <si>
    <t>Windham</t>
  </si>
  <si>
    <t>rer*minar varios asuntos particulares, se hizo la primera lectura del discurso de gracias á S.M., y Mr. Windham pronunció un largo discurso. / ; _ , . síjiza^.v. . ;V' ■ han sana ig de Diciembre.' i v De 15 dias á esta parte se sostienen los rumores públicos de que Se ha visto un fenómeno e</t>
  </si>
  <si>
    <t>opuestas que habían de hacer, y de haberse determinado algunos puntos ae interes local, tomó la voz Mr. Windham para exponer á la Cámara las razones en que la tarde anterior se habia fundado para opinar en favor de la unanimidad acerca del discurso de gracias, no queriendo se pensase que so</t>
  </si>
  <si>
    <t>iens , que ha durado un año entero. Me acuerdo que en respuesta á los temores de uno de mis amigos (Mr. Windham) acerca de este tratado, un honorable miembro presento el quadro del estado floreciente de todas las partes del Imperio. No se hablaba de suspender la actade babeas corpus, de est</t>
  </si>
  <si>
    <t>nos en la segunda lectura del bilí, que prolongando la discusión sobre la separación de la Cámara.” Mr. Windham dixo , que su honorable amigo se explicaba como si la separación debiese durar largo tiempo; pero que no siendo así, se creia en la obligación de apoyarla. Pasó después á rebatir</t>
  </si>
  <si>
    <t>ra debe estar cansada de oir unas objeciones tantas veces repetidas sobre un asunto tan debatido.__ Mr. Windham observa que el objeto de la discusión no es de saber si tendremos ó no voluntarios, sino determinar si estas nuevas modificaciones y enmiendas valen la pena que se adopten. No con</t>
  </si>
  <si>
    <t>arios debates sobre si debía leerse por tercera vez el bilí sobre aumentar las milicias de Irlanda. Mr. Windham dixo*. ,, Admitiendo, como pretenden los Ministros, que no se presenta ahora ningún medio de reclutar el exército de línea ni el de reserva, quedan dos qiiestiones por resolver. ¿</t>
  </si>
  <si>
    <t>oner en execucion la mayor parte de sus proyectos , ó seguir en algún modo sus antiguos principios? Mr. Windham habla em favor de lo propuesto por Fox. Este refuta las objeciones con que se ha combatido su propuesta. Habla- fuertemente cantra las injurias que le prodigan los Ministros , al</t>
  </si>
  <si>
    <t>os consejos quedes parecen útiles al bien del estado , tengo á grande gloria merecer esta censura.” Mr. Windham opina por que se conceda un término para, exáminar ei plan de Mr. Pitt.. Se pasa á la votación*. 203 votan en favor, y 240 contra el plan de Pitt-Mayoridad.á favor de ios. Ministr</t>
  </si>
  <si>
    <t>Windhani</t>
  </si>
  <si>
    <t>r su contingente de hombres al exérciro dé tierra. Mr. Pitt procuró remover todas las dificultades. Mr. Windhani le replicó con una crítica mordaz y parcial; péro sin embargo, pasaron las diferentes propuestas del Ministro. Al dia siguiente lue^d que sé leyó el informe de la junta, y se hizo</t>
  </si>
  <si>
    <t>Wolfegg-Waldseé, Príncipe</t>
  </si>
  <si>
    <t>Príncipe Wolfegg-Waldseé</t>
  </si>
  <si>
    <t>das que ha sufrido; y la de algunos perjuicios dé la Cotíde&amp;á dé! Imperio , de Stumberg , contra el Príncipe Wolfegg-Waldseé, en razón de las posesiones de la antigua abadía de Schussenried. Se ha extrañado mucho que en estos dias últimos no hayan continuado las juntas en la Dieta, y mucho mas en atenci</t>
  </si>
  <si>
    <t>Wolfensperger</t>
  </si>
  <si>
    <t>nso por 3 años: la tercera contra Air. Crauer, de Bincizon, suspenso por 2 años; y la quarta contra Mr. Wolfensperger, de Bauma, el qual ha sido privado de sus empíeos. ■ Ha expedido últimamente la Dieta un decreto de suma importancia paira la nueva organización definitiva' de los .contingentes .</t>
  </si>
  <si>
    <t>Wolfskehi, General</t>
  </si>
  <si>
    <t>General Wolfskehi</t>
  </si>
  <si>
    <t>nviado á tomar posesión, y lo volverían todo en el mismo estado que tenia antes. Se dice aun que el General Wolfskehi ha recibido orden de pasar á Suabia, para tomar el mando de los cuerpos de tropas que se van juntando. Añaden en confirmación de esta noticia , que sentará su quartel general en W</t>
  </si>
  <si>
    <t>Wolgonsky, Príncipe</t>
  </si>
  <si>
    <t>Príncipe Wolgonsky</t>
  </si>
  <si>
    <t>ballero NovasilzotF, muy querido del Emperador , y los dos Ayudantes generales, Mr. de Liewen, y el Príncipe Wolgonsky. Se asegura que S. M. no empleará en este viage mas de 15 dias; y que á su venida visitará la universidad de Dorpat, y las ciudades de Werro y Pellin. Estos dos pueblos son los si</t>
  </si>
  <si>
    <t>Wüttenbac</t>
  </si>
  <si>
    <t>eno para formar el jardín botánico, y allí se erigirá un monumento á la gloria del inmortal Haller. Mr. Wüttenbac , á nombre de. la sociedad, convida á todos sus conciudadanos, y á los admiradores de Haller á que le comuniquen sus ideas, y le ayuden con sus consejos para el acierto en la empr</t>
  </si>
  <si>
    <t>Xara Creviilon, Juan</t>
  </si>
  <si>
    <t>Juan Xara Creviilon</t>
  </si>
  <si>
    <t>ngua francesa. i.°: D. Josef Cacho: Diccionario de la Academia francesa, 2 tomos en 4.0 mayor. 2.0: D. Juan Xara Creviilon: Tragedias, 3 tomos en 8.° Accessit: D. Manuel Perero: Fenelon, Aventuras de Telémaco, 2 tomos en 8.°__ Lengua francesa. i.°: D. Manuel María Villavicencio: Racine, Tragedias, 4 t</t>
  </si>
  <si>
    <t>Xares Maldonado, Francisco</t>
  </si>
  <si>
    <t>Francisco Xares Maldonado</t>
  </si>
  <si>
    <t>esta villa, al que pertenecen los derechos de cierto patronato, acuda á la escribanía del número de D. Francisco Xares Maldonado, donde se dará razón del sugeto con quien se ha de contratar para ello. Antonio Arguelles, natural de Santianes de Quíllote, en el principado de Astriñas, pasó á la América sirvie</t>
  </si>
  <si>
    <t>Xavier-de, Francisco</t>
  </si>
  <si>
    <t>Francisco Xavier-de</t>
  </si>
  <si>
    <t>go de Chile, vacante por ascenso, de D. Josef Santiago Rodríguez á la Canongía* Doctoral de ella, á D. Francisco Xavier-de * Palo mera, Cura del pueblo dé Valparaíso* El bergantín correo de Ja Real armada,nombrado el Príncipe de la Paz, salió de los puertos de Veracruz y la Havana en los dias n de No</t>
  </si>
  <si>
    <t>xefe Augereau</t>
  </si>
  <si>
    <t>estaban asPen esta ciudad como en sus cercanías se van retirando. El General en xefe Augereau se despidió de ellas el miércoles pasado, y la plana mayor saldrá de aquí, según dicen, el jueves próximo. . . París de Diciembre. El Caballero de Hervas ha si</t>
  </si>
  <si>
    <t>xefe Davoust</t>
  </si>
  <si>
    <t>qüencia se ve en el Mediterráneo. FRANCIA. París 12 de Diciembre. El General en xefe Davoust dio orden al General Friant, comandante de la segunda división del campo de Brujas, para nombrar en su división una comisión militar encargada de exámínar el d</t>
  </si>
  <si>
    <t>Ximenez Arguello, Félix Antonio</t>
  </si>
  <si>
    <t>Félix Antonio Ximenez Arguello</t>
  </si>
  <si>
    <t>fesores que la soliciten presentarán sus memoriales y relación de méritos al Secretario de la junta D. Félix Antonio Ximenez Arguello hasta el dia 15 del próximo mes de Octubre; y pasado que sea dicho térr mino, se proveerá en el mas benemérito. Se halla vacante el partido de Médico de lá villa de Olmedo, provin</t>
  </si>
  <si>
    <t>Ximenez Bretón, Manuel</t>
  </si>
  <si>
    <t>Manuel Ximenez Bretón</t>
  </si>
  <si>
    <t>de -granaderos D. Juan Bautista Sech. En consideración á tos dilatados y distinguidos servicios de D. Manuel Ximenez Bretón, Secretario con voto de la Junta general de Comercio, - Moneda, Minas y dependencia de extrangeros, y Ministro honorario dél -Consejo de Hacienda , á su avanzada, edaay achaques,</t>
  </si>
  <si>
    <t>Ximenez Coronado, Salvador</t>
  </si>
  <si>
    <t>Salvador Ximenez Coronado</t>
  </si>
  <si>
    <t>, escrita en italiano por el Sr. Abate Requeno, Académico Clementino, y traducido al castellano por D. Salvador Ximenez Coronado, Presbítero, profesor Real de Astronomía: un tomo en 8.° marquílla, á 10 rs. en rustica y 13 en pasta. Se hallará en la librería de iá viuda de Ibarra, calle de la Gorguera. EN LA</t>
  </si>
  <si>
    <t>Ximenez Leorin, Manuel</t>
  </si>
  <si>
    <t>Manuel Ximenez Leorin</t>
  </si>
  <si>
    <t>a Rey na y Voluntarios de la Corona á los Subtenientes Don Sebastian Pujol, graduado de Teniente, y D. Manuel Ximenez Leorin, S. M. se ha servido promover á Tenientes en el regimiento de infantería de Mallorca yen el primer batallón de Voluntarios de Aragón á los Subtenientes de los mismos cuerpos D. Fe</t>
  </si>
  <si>
    <t>Ximenez, Andrés</t>
  </si>
  <si>
    <t>Andrés Ximenez</t>
  </si>
  <si>
    <t>, Capitán de granaderos que fue del de Sto. Domingo: á Capitanes de gra* naderos á los dé fusileros D. Andrés Ximenez , graduado de Teniente Coronel, y D. Federico Garcen de Sanjust: á Capitanes primeros á los segundos D. Santiago de Luna, D. Josef de la Concha, D. Florencio dfe, Areizaga y D. Ca</t>
  </si>
  <si>
    <t>Ximenez, Matias</t>
  </si>
  <si>
    <t>Matias Ximenez</t>
  </si>
  <si>
    <t>de IpP.iincesa á D. Vicente Baixauli: en el de Extremadura á D. Antonio Sánchez: en el de Borbon á D. Matias Ximenez; y en el batallón de infantería ligera de Voluntarios de Valencia al Sargento primero de granaderos ^el ^regimiento de la Princesa D. Josef Ambrosio Lampiz. En los regimientos de</t>
  </si>
  <si>
    <t>Ximenez, Miguel María</t>
  </si>
  <si>
    <t>Miguel María Ximenez</t>
  </si>
  <si>
    <t>l aceyte de olivas en el vómito negro no es un auxilio desconocido á los profesores de esta ciudad. Don Miguel María Ximenez lo aplicó con feliz éxit# al Teniente de Fragata Don Antonio Gastón, en la casa del Señor Marques de Ateos. El ño haberse continuado su aplicación, ha consistido en que presumíamo</t>
  </si>
  <si>
    <t>Ximeno, Juan</t>
  </si>
  <si>
    <t>Juan Ximeno</t>
  </si>
  <si>
    <t>..... D. Pedro y D. Juan Esponera. En León.............. D. Pedro Gil de Tejada. En Málaga......... D. Juan Ximeno. : En Maltón......... . Doña Catalina Germán y Fugalde. ; En Murcia............ Sres. Moreda y Ladalid. En Oviedo..............D. Manuel Rubiano. En Palenda........ D. Nicolás Cal</t>
  </si>
  <si>
    <t>...........D. Pedro y D. Juan Esponera. En León........... D. Pedro Gil de Tejada. En Malaga."".... D. Juan Ximeno. En Mahon.............Doña Catalina Germán y Hugalde* En Murcia...........Sres. Moreda y Ladalíd. En Oviedo............ D. Manuel Rubiano. En Palenda.........D. Nicolás Calonge é</t>
  </si>
  <si>
    <t>.. D. Pedro y D. Juan Esponera. En León............... í). Pedro Gil de Tejada. En Malaga.......... D. Juan Ximeno. En Mahon............ Doña Catalina Germán y Hugalde. En Murcia........... Sres. Moreda y Ladalid. En Oviedo.......... .. D. Manuel Ru,biano. _ En Patencia........ í&gt;. Nicqlas Cal</t>
  </si>
  <si>
    <t>Ximeno, Vicente</t>
  </si>
  <si>
    <t>Vicente Ximeno</t>
  </si>
  <si>
    <t>ncisco Cabrera: Tenencias en el mismo de la Corona y en los de Murcia y Princesa á los Subtenientes D. Vicente Ximeno , graduado de Teniente, D. Josef Revest y Lassala, D. Manuel de Torres, D.Diego Marques,D. Juan Diego Perez y D. Manuel Sánchez; y Subtenencias de bandera en el de Extremadura al</t>
  </si>
  <si>
    <t>Ximtnez, Estéban</t>
  </si>
  <si>
    <t>Estéban Ximtnez</t>
  </si>
  <si>
    <t>as, desde palotes hasta lo mas delgado ; siendo la muestra ultima una norma de cartas, grabadas por D. Estéban Ximtnez , imitando el carácter y buen gusto de los célebres escritores Morante y Palomares. Se hallarán en la imprenta y librería deBlanques, calle dé las Carretas, á 2 rs. cada colección</t>
  </si>
  <si>
    <t>Xuarez Negron, Manuel</t>
  </si>
  <si>
    <t>Manuel Xuarez Negron</t>
  </si>
  <si>
    <t>rión Rodríguez: en el de Hibernia al Sargento primero D. Carlos Tiorati: en el de América al Cadete D. Manuel Xuarez Negron; y en el de Voluntarios de Estado al Cadete del de Reales Guardias Españolas D. Cayetano María de Espino y Real. A D. Joaquín Ovalie, Teniente Coronel agregado en el tercer Regimi</t>
  </si>
  <si>
    <t>XVI, Luis</t>
  </si>
  <si>
    <t>Luis XVI</t>
  </si>
  <si>
    <t>e Grandes y Príncipes, en el epítomede la vida del Duque de Borgoña, hermano de Luis XVI, Rey de Francia. Un tomo en 8.° á n rs. en pasta. Plano déla ciudad de Jerusalkn y sus inmediaciones, como estaba en ti</t>
  </si>
  <si>
    <t>y Andrade, Francisco Xavier</t>
  </si>
  <si>
    <t>Francisco Xavier y Andrade</t>
  </si>
  <si>
    <t>, D. Josef María Fernandez Boullosa, D. Josef Manuel Díaz de la Madrid, D. Francisco Ruiz Linares , D. Francisco Xavier y Andrade , Don Josef María Noriega, D. Joaquín Artacho y Moreno y D.Francisco Zosaya, veciiios de aquella provincia. El ib del corriente mes dé Abril dio fonido eri el puerto de la Cortina</t>
  </si>
  <si>
    <t>y Estrada, Julián Alonso</t>
  </si>
  <si>
    <t>Julián Alonso y Estrada</t>
  </si>
  <si>
    <t>ivos créditos, se presenten en dicho concurso, pendiente en la escribanía de provincia del cargo de D. Julián Alonso y Estrada, en el preciso término de 30 dias, contados desde su publicación en el periódico, que á unos y otros se les ha prefinido en dicho auto de 24 de Mayo, por primero y último, para qu</t>
  </si>
  <si>
    <t>anuel, del Consejo de S. M., Alcalde de su Real casa y corte, y escribanía de provincia, que cxerce D. Julián Alonso y Estrada,, penden los autos de la quiebra de la casa titulada D. Juan Santos Posadillo é hijos,ya difunto, vecino y del comercio que fué de esta corte, á la que pertenecen diferentes efect</t>
  </si>
  <si>
    <t>y Gambus, Francisco Esteban</t>
  </si>
  <si>
    <t>Francisco Esteban y Gambus</t>
  </si>
  <si>
    <t>ngía, que en la catedral de Jaén ha resultado vacante por muerte de D. Joaquín Josef de Peñalver, á D. Francisco Esteban y Gambus, Capellán del primer regimiento del Real cuerpo de Artillería ; y para la que quedó vacante en la catedral de Cuenca, por fallecimiento de D. Lorenzo Calvo de la Cantera , á D. An</t>
  </si>
  <si>
    <t>y IX Alonso Yolíf, Juan</t>
  </si>
  <si>
    <t>Juan y IX Alonso Yolíf</t>
  </si>
  <si>
    <t>nte, al seguimiento de la apelación' que está pendiente, y fue interpuesta en los autos que seguían D. Juan y IX Alonso Yolíf con IX Luis su hermano, sobre cumplimiento de cierto compromiso celebrado para el ajuste de cuenras habidas en su compañía : previniendo á dichos herederos que pasado dicho términ</t>
  </si>
  <si>
    <t>y María Rosa Anguiano, Ana</t>
  </si>
  <si>
    <t>Ana y María Rosa Anguiano</t>
  </si>
  <si>
    <t>recho al percibo del líquido de 1900 pesos, depositados en caxa, ocurriéron Doña Rita, Doña Josefa, Doña Ana y Doña María Rosa Anguiano, vecinas de la ciudad de Cádiz, como nietas de Don Juan Suarez, uno de los 5 herederos del testador; y como no han comparecido Jos de lds otros 4 hermanos, nombrados D. Cristóbal,</t>
  </si>
  <si>
    <t>Yañez, Juan</t>
  </si>
  <si>
    <t>Juan Yañez</t>
  </si>
  <si>
    <t>Navarra, Uitonia, América y Nápoles, á los Subtenientes D. Josef María de Andrade, Don Joaquín Bas, D. Juan Yañez, D. Mateo Collinghs,D. Josef Peña Carrillo, D. Antonio Designi y D. Juan Medina: y Subtenencias de bandera en los de España, Burgos, Uitonia y Borbon , á los Sargentos primeros D.</t>
  </si>
  <si>
    <t>Yanguas, Antonio Francisco</t>
  </si>
  <si>
    <t>Antonio Francisco Yanguas</t>
  </si>
  <si>
    <t>Felipe Sanz García, á D. Pedro Bernardo D’Arcens: para una Ración de la deTudela, por promoción de D. Antonio Francisco Yanguas á Canongía de la misma, á D. Bernardo Carasusan: para una Capellanía de número de la de Santo Domingo de la Calzada, por muerte de D. Felipe Mayor, á D. Román García: para una Rac</t>
  </si>
  <si>
    <t>Yarboroug, Lord</t>
  </si>
  <si>
    <t>Lord Yarboroug</t>
  </si>
  <si>
    <t>nolds ha valuado en 200® libras esterlinas la colección de quadros que ha heredado de su suegra, el Lord Yarboroug. Cada uno de los demas hijos de dicha señora ha recibido un legado considerable j á saber, los varones 20® libras esterlinas, y las hembras 10®, sin cofitar los bienes, raices. De</t>
  </si>
  <si>
    <t>Yarmouth, Lord</t>
  </si>
  <si>
    <t>Lord Yarmouth</t>
  </si>
  <si>
    <t>abra de honor. Entre estos prisioneros hay personages de mucha distinción, tales como Mr. Fagar; el Lord Yarmouth; Nicolás el padre, de la Cámara de los Comunes y del partido de la oposición; D’UfF, Coronel, amigo de) Príncipe de Gales; ei Conmodoro Gerald Bringthonn, Capitán de la Minerva, y</t>
  </si>
  <si>
    <t>York</t>
  </si>
  <si>
    <t>la: protección a las personas y Las propiedades de~ los heles vasa*ilos de 5. M. en ei mismo país.” Mr. York sentía la necesidad en; que se hallaba de pedir desde la abertura de la sesión, la continuación dé las actas que privan la libertad natural, de que todos ios vasallos británicos g</t>
  </si>
  <si>
    <t>Yorke</t>
  </si>
  <si>
    <t>buirla entre los curas que perdiéron sus curatos por la acta sobre la residencia del clero.__Quando Mr. Yorke pidió que se presentasen dos biles, el uno para continuar la suspensión del acta de habeas Corpus, y el otro para continuar la ley marcial en Irlanda. ,,Con mucho sentimiento, dix</t>
  </si>
  <si>
    <t>91 En la junta del dia 5 Mr. Yorke presentó la copia deL convenio firmado entre S., M. -y el Rey de Suecia. &gt; El mismo Ministro pidió que se leyese por segunda vez el bilí que renueva la suspensión de la acta de ha</t>
  </si>
  <si>
    <t>ersburgo. GRAN BRETAÑA. Londres $ de Diciembre. Cámara de los Comunes. * Concluye la junta del 5___ Mr. Yorke responde á Mr. Elliot. Comienza manifestando quan grave es la acusación que el honorable caballero hace al gobierno y á la Cámara de no atender á los asuntos de Irlanda con la ser</t>
  </si>
  <si>
    <t>acompañaban fuéron muertos á traycion. En la junta de la cámara de los Comunes del 8, el Secretario Mr. Yorke, presentó el proyecto de una acta para consolidar, explicar, y</t>
  </si>
  <si>
    <t>iendo tan acalorados los debates como puede conceptuarse por el extracto que sigue. , El Secretario Mr. Yorke propuso se leyese por la segunda vez el bilí dirigido á completar las actas relativas á los voluntarios.__ Tomó la voz $ir Roberto Lawley. ,,Yo pienso, dixo, que debe suspenderse</t>
  </si>
  <si>
    <t>ue desestimada á pluralidad de 201 votos contra 130. En la junta de la misma Cámara del 22 de Marzo Mr. Yorke propone la segunda lectura del bilí sobre los voluntarios. El Coronel Crauford dice que la Cámara debe estar cansada de oir unas objeciones tantas veces repetidas sobre un asunto</t>
  </si>
  <si>
    <t>idad de 363,366 libras esterlinas.—Después de algunos debates se adoptó la propuesta. El Secretario Mr. Yorke pide se tome en consideración el mensage del Rey sobre la oferta de las milicias de Irlanda; y después de dar los mayores elogios al patriotismo de dichas milicias, presenta un pl</t>
  </si>
  <si>
    <t>que provea á asegurar la, existencia de todo lo que una nación tiene de mas apreciable en el mundo. Mr. Yorke combate la opinión dé Fox, y sostiene que son suficientes las providencias tomadas poV el.gobierno para la defensa del país. * ,,£1 Procurador general, en un discurso, en íjue pri</t>
  </si>
  <si>
    <t>de esta desgracia. • V A.R iA M V. N T O I M PE IVI AL. Cantar a delos Comunes. En la ¡unta del 25, Mr. Yorke propuso que da Cámara- se formaje en junta para deliberar sobre el bilí, sobre la suspensión del acta del exército de reserva. • Mr. Pitt dixo lo que sigue: ,,La adopcion.de! bilí</t>
  </si>
  <si>
    <t>os.....” Continua después Mr. Pitt hablando del plan que propone , y entra en varias explicaciones. Mr. Yorke se opone á lo propuesto. Mr. Fox habla en favor del plan de Mi-. Pitt..,, Despu.es de haber los Ministros, dice , procurado reclutar gente por tiempo, y para servicio determinado,</t>
  </si>
  <si>
    <t>nte en que el proyecto presentado por Mr. Pitt, es casi idéntico al de su predecesor Mr. Addington. Mr. Yorke, antiguo Secretario de la Guerra en el ministerio anterior, critico varias mudanzas que el primer Ministro había hecho al plan antiguo, y aun añadid: ,&gt;Qüe á pesar de quanto se ha</t>
  </si>
  <si>
    <t>Zacharof</t>
  </si>
  <si>
    <t>os nuevos esposos habitarán hasta el invierno en el palacio, de Zarko-Zelo. El profesor Robertson y Mr. Zacharof, de la Academia de ciencias, efectuaron, el 12 del corriente, la ascensión aerostática en el jariin del cuerpo de Cadetes. Como el objeto del viage era executar varios experimento</t>
  </si>
  <si>
    <t>Zafra, Antonio</t>
  </si>
  <si>
    <t>Antonio Zafra</t>
  </si>
  <si>
    <t>bandera al Cadete D. Cayetano Baiviani: en el de Extremadura Tenencia al Subteniente de granaderos D, Antonio Zafra; y Subtenencia de bandera al Cadete D. Pedro Diaz de Arjona: en el de Málaga Tenencia al Subteniente D. Antonio Martinez Orosa; y Subtenencia de bandera ai Cadete D. Diego S. Romá</t>
  </si>
  <si>
    <t>Zalamea, Antonio</t>
  </si>
  <si>
    <t>Antonio Zalamea</t>
  </si>
  <si>
    <t>ido conceder en el regimiento de infantería de la Corona Subtenencia de bandera al Sargento primero D. Antonio Zalamea: en el de Sevilla el empleo de Coronel al Teniente Coronel del de Mallorca, graduado de Coronel, D. Joseph Bertnudez de Castro: en el de Valencia Ayudantía al Teniente de granader</t>
  </si>
  <si>
    <t>Zambeccari</t>
  </si>
  <si>
    <t>ar la tranquilidad interior de la colonia. ITALIA. Milán 2 j de Noviembre. El descenso del globo de Mr. Zambeccari, que cayó en territorio turco, ha causado una escena bastante particular. Escriben de Gospich que el dia 9 de Octubre, estando el tiempo muy sereno, cayó pausada</t>
  </si>
  <si>
    <t>e en su nombre la cantidad de 50 zequines (2300 rs. vn.), en señal de srt reconocimiento y aprecio» Mr. Zambeccari acaba de publicar en Bolonia la relación de su segundo viage por los ayres. Génova 29 de Setiembre. Escriben de Roma que no se sabe á punto fixo el día en que S. S. emprenderá su</t>
  </si>
  <si>
    <t>Zamema, Manuel</t>
  </si>
  <si>
    <t>Manuel Zamema</t>
  </si>
  <si>
    <t>Canónigo de la misma Colegial: para una Ración de la Metropolitana de Burgos, vacante por muerte de Don Manuel Zamema, á D. Miguel Ortiz de Rufrancos, Rector de la Universidad de Salamanca: para un Beneficio servidero de la Parroquia de S. Pedro de la ciudad de Zamora, que estaba vacante mucho ti</t>
  </si>
  <si>
    <t>Zangger</t>
  </si>
  <si>
    <t>saber: una, contra Mr. Schultess, de Stacfa, suspenso ce todos sus empleos por un año: otra centra Mr. Zangger, de Uster, suspenso por 3 años: la tercera contra Air. Crauer, de Bincizon, suspenso por 2 años; y la quarta contra Mr. Wolfensperger, de Bauma, el qual ha sido privado de sus emp</t>
  </si>
  <si>
    <t>Zanzano, Joaquín</t>
  </si>
  <si>
    <t>Joaquín Zanzano</t>
  </si>
  <si>
    <t>és Olarria ; y en los de Valencia y Ordenes Militares á Subtenientes de bandera al Sargento primero D. Joaquín Zanzano, y al Cadete D. Pedro de Berga. . S. M. se ha servido nombrar para la Vara de Alcalde mayor Teniente de Corregidor de la ciudad de Guadalaxara , vacante por promoción* de D. Mateo</t>
  </si>
  <si>
    <t>Zaragozano, Manuel</t>
  </si>
  <si>
    <t>Manuel Zaragozano</t>
  </si>
  <si>
    <t>141-25 Manuel Zaragozano.............. Zaragoza.......................... 141-2 5 Santiago Domingo.............. 141-25 Francisco Eloy...............</t>
  </si>
  <si>
    <t>Zarza V Claudio Martínez, Vicente</t>
  </si>
  <si>
    <t>Vicente Zarza V Claudio Martínez</t>
  </si>
  <si>
    <t>isio Antelo y D. Luis Morales: a Tenientes de granaderos de los de Avila y Torca á los de fusileros D. Vicente Zarza V D Claudio Martínez: á Tenientes de fusileros de los de Lnjalance, Tu y v eiudad-Realá los Subtenientes D. Joset Muñoz. D. Francisco Perez del Villar y D. ManueJ Mexía; y á Subteniente de bandera del</t>
  </si>
  <si>
    <t>Zavala y Zamora, Gaspar</t>
  </si>
  <si>
    <t>Gaspar Zavala y Zamora</t>
  </si>
  <si>
    <t>librería de Arlibas, calle de las Carretas. # ' :# La Elvira portuguesa, tragedia en dos actos, por D. Gaspar Zavala y Zamora: en 8.° Se hallará á 2 rs. en rústica en la librería de Fuentenebro y Compañía, calle de las Carretas. En la librería de Dávila, calle de las Carretas, se hallan las obras nuevas</t>
  </si>
  <si>
    <t>Zea, Francisco Antonio</t>
  </si>
  <si>
    <t>Francisco Antonio Zea</t>
  </si>
  <si>
    <t>olo dos, que florecieron el 16 de Mayo, dia en que el actual gefe y primer profesor del Real Jardín D. Francisco Antonio Zea dió su primera lección, en que demostró ser este el lupinus pillosus de Linneo, ó digamos una especie de altramuz. Quando las legumbres estuvieron en sazón, que fue el 8 de Junio,</t>
  </si>
  <si>
    <t>Ziegler, Coronel</t>
  </si>
  <si>
    <t>Coronel Ziegler</t>
  </si>
  <si>
    <t>Zurich,, y del lado de Schwitz por los contingentes de los cantones pequeños. A las 11 ya habia el Coronel Ziegler, comandante en gefe , establecido su quartel general en el mismo lugar de Waedenschwyl, en donde residia la junta insurreccional, y ya también se habían apoderado las tropas de to</t>
  </si>
  <si>
    <t>Ziegter de Zurich</t>
  </si>
  <si>
    <t>es en los pueblos, donde la mayor parte de. sus moradores se mantiene fiel al gobierno. 3 de Abril. Mr. Ziegter de Zurich es comandante en gefe de las tropas helvéticas contra ios amotinados del cantón de Zurich. En la ciudad de este nombre se han recibido estos dias últimos muchos refuerzos de los can</t>
  </si>
  <si>
    <t>Zizianow, Príncipe</t>
  </si>
  <si>
    <t>Príncipe Zizianow</t>
  </si>
  <si>
    <t>s, conviniéndolas en pueblos agrícolas. Gotl éste objeto'se han dictado las ^instrucciones dadas ai Príncipe Zizianow, comandante de Georgia'. Déspues'de prescribirle la conducta que debe observar en aquella provincia recien conquistada y llena de descontentos, para ganar las voluntades, y hacer</t>
  </si>
  <si>
    <t>íirgo a o de Setiembre. En la Gazeta de la Corte del 17 se ha publicado la relación siguiente: ,,E1 Príncipe Zizianow, Comandante general en la Grusinia (Georgia) había recibido una carta llena de amenazas del Visir de Baba-Kan, Regente de Persia, en que le pedia que las tropas Rusas evacuasen la</t>
  </si>
  <si>
    <t>Zulaetai, Manuel</t>
  </si>
  <si>
    <t>Manuel Zulaetai</t>
  </si>
  <si>
    <t>éreces de Navio D. Rafael de Luna, que era graduado;, I). Santiago Echapparret, Don Cárlos Mauduit, D. Manuel Zulaetai) IK Antonio Berraondo, D. Juan del Busto, D. Josef Quiroga, D. Dieggo* Venegas, D. Ventura Gutiérrez de Bustillo, D. Josef Roso, D. Joaquínu Aróstegui, D. Joaquín Ibañez de Corver</t>
  </si>
  <si>
    <t>Zuliersky, Coronel</t>
  </si>
  <si>
    <t>Coronel Zuliersky</t>
  </si>
  <si>
    <t>a muchos Generales del exército, y varios militares extrangeros á presenciar dichas evoluciones. El Coronel Zuliersky, Enviado de la Corte de Rusia cerca del Duque de Saxonia- Weyraar, para notificarle de oficio el casamiento de la Gran Duquesa María con el Príncipe heredero de Saxonia-Weymar, ll</t>
  </si>
  <si>
    <t>Zuloaga, Santiago</t>
  </si>
  <si>
    <t>Santiago Zuloaga</t>
  </si>
  <si>
    <t>e ha dignado conferir la Canongía Doctoral de la Metropolitana de Caracas, vacante por promoción de D. Santiago Zuloaga á la Dignidad ¿e Tesorero de ella, á D. Juan Rafael Rodríguez, Medio-Racionero de la misma Iglesia. Asimismo ha nombrado el Rey para una plaza de Oidor de la Audiencia de Manila,</t>
  </si>
  <si>
    <t>Zurita, Pedro</t>
  </si>
  <si>
    <t>Pedro Zurita</t>
  </si>
  <si>
    <t>l Valentín de Nicolás: para una Media-Ración de la metropolitana de Granada , vacante por muerte de D. Pedro Zurita , a D. Joa</t>
  </si>
  <si>
    <t>Fuentes y criterio de elaboración</t>
  </si>
  <si>
    <t>Páginas impresas</t>
  </si>
  <si>
    <t>Registros</t>
  </si>
  <si>
    <t>Fascículo oficial (PDF)</t>
  </si>
  <si>
    <t>1–12</t>
  </si>
  <si>
    <t>13–20</t>
  </si>
  <si>
    <t>21–28</t>
  </si>
  <si>
    <t>29–40</t>
  </si>
  <si>
    <t>41–48</t>
  </si>
  <si>
    <t>49–60</t>
  </si>
  <si>
    <t>61–72</t>
  </si>
  <si>
    <t>7 (supl.)</t>
  </si>
  <si>
    <t>73–76</t>
  </si>
  <si>
    <t>77–88</t>
  </si>
  <si>
    <t>89–100</t>
  </si>
  <si>
    <t>101–112</t>
  </si>
  <si>
    <t>113–124</t>
  </si>
  <si>
    <t>125–136</t>
  </si>
  <si>
    <t>137–144</t>
  </si>
  <si>
    <t>145–156</t>
  </si>
  <si>
    <t>157–164</t>
  </si>
  <si>
    <t>165–176</t>
  </si>
  <si>
    <t>16 (supl.)</t>
  </si>
  <si>
    <t>177–180</t>
  </si>
  <si>
    <t>181–188</t>
  </si>
  <si>
    <t>17 (supl.)</t>
  </si>
  <si>
    <t>sin numerar (4 págs. PDF)</t>
  </si>
  <si>
    <t>189–200</t>
  </si>
  <si>
    <t>201–212</t>
  </si>
  <si>
    <t>213–224</t>
  </si>
  <si>
    <t>225–236</t>
  </si>
  <si>
    <t>237–248</t>
  </si>
  <si>
    <t>22 (supl.)</t>
  </si>
  <si>
    <t>249–254</t>
  </si>
  <si>
    <t>255–266</t>
  </si>
  <si>
    <t>267–278</t>
  </si>
  <si>
    <t>279–286</t>
  </si>
  <si>
    <t>287–294</t>
  </si>
  <si>
    <t>295–302</t>
  </si>
  <si>
    <t>303–310</t>
  </si>
  <si>
    <t>311–322</t>
  </si>
  <si>
    <t>323–334</t>
  </si>
  <si>
    <t>335–346</t>
  </si>
  <si>
    <t>347–358</t>
  </si>
  <si>
    <t>359–370</t>
  </si>
  <si>
    <t>371–378</t>
  </si>
  <si>
    <t>379–390</t>
  </si>
  <si>
    <t>391–402</t>
  </si>
  <si>
    <t>403–414</t>
  </si>
  <si>
    <t>415–426</t>
  </si>
  <si>
    <t>427–438</t>
  </si>
  <si>
    <t>39 (supl.)</t>
  </si>
  <si>
    <t>439–450</t>
  </si>
  <si>
    <t>451–462</t>
  </si>
  <si>
    <t>463–474</t>
  </si>
  <si>
    <t>475–482</t>
  </si>
  <si>
    <t>483–490</t>
  </si>
  <si>
    <t>491–502</t>
  </si>
  <si>
    <t>503–514</t>
  </si>
  <si>
    <t>46 (supl.)</t>
  </si>
  <si>
    <t>515–518</t>
  </si>
  <si>
    <t>519–530</t>
  </si>
  <si>
    <t>531–538</t>
  </si>
  <si>
    <t>48 (supl.)</t>
  </si>
  <si>
    <t>539–546</t>
  </si>
  <si>
    <t>49 (supl.)</t>
  </si>
  <si>
    <t>sin numerar (16 págs. PDF)</t>
  </si>
  <si>
    <t>547–554</t>
  </si>
  <si>
    <t>50 (supl.)</t>
  </si>
  <si>
    <t>sin numerar (2 págs. PDF)</t>
  </si>
  <si>
    <t>555–566</t>
  </si>
  <si>
    <t>567–578</t>
  </si>
  <si>
    <t>52 (supl.)</t>
  </si>
  <si>
    <t>579–582</t>
  </si>
  <si>
    <t>583–594</t>
  </si>
  <si>
    <t>595–602</t>
  </si>
  <si>
    <t>603–614</t>
  </si>
  <si>
    <t>615–622</t>
  </si>
  <si>
    <t>623–634</t>
  </si>
  <si>
    <t>57 (supl.)</t>
  </si>
  <si>
    <t>635–640</t>
  </si>
  <si>
    <t>635–646</t>
  </si>
  <si>
    <t>647–658</t>
  </si>
  <si>
    <t>659–670</t>
  </si>
  <si>
    <t>671–678</t>
  </si>
  <si>
    <t>679–690</t>
  </si>
  <si>
    <t>691–702</t>
  </si>
  <si>
    <t>63 (supl.)</t>
  </si>
  <si>
    <t>703–706</t>
  </si>
  <si>
    <t>707–718</t>
  </si>
  <si>
    <t>64 (supl.)</t>
  </si>
  <si>
    <t>719–722</t>
  </si>
  <si>
    <t>723–734</t>
  </si>
  <si>
    <t>735–742</t>
  </si>
  <si>
    <t>743–754</t>
  </si>
  <si>
    <t>755–766</t>
  </si>
  <si>
    <t>767–778</t>
  </si>
  <si>
    <t>779–786</t>
  </si>
  <si>
    <t>787–794</t>
  </si>
  <si>
    <t>71 (supl.)</t>
  </si>
  <si>
    <t>795–798</t>
  </si>
  <si>
    <t>799–810</t>
  </si>
  <si>
    <t>811–822</t>
  </si>
  <si>
    <t>823–834</t>
  </si>
  <si>
    <t>835–842</t>
  </si>
  <si>
    <t>843–850</t>
  </si>
  <si>
    <t>851–862</t>
  </si>
  <si>
    <t>863–870</t>
  </si>
  <si>
    <t>871–882</t>
  </si>
  <si>
    <t>883–890</t>
  </si>
  <si>
    <t>891–898</t>
  </si>
  <si>
    <t>899–910</t>
  </si>
  <si>
    <t>911–922</t>
  </si>
  <si>
    <t>83 (supl.)</t>
  </si>
  <si>
    <t>923–930</t>
  </si>
  <si>
    <t>931–942</t>
  </si>
  <si>
    <t>943–950</t>
  </si>
  <si>
    <t>86 (supl.)</t>
  </si>
  <si>
    <t>951–956</t>
  </si>
  <si>
    <t>957–968</t>
  </si>
  <si>
    <t>969–980</t>
  </si>
  <si>
    <t>981–992</t>
  </si>
  <si>
    <t>993–1000</t>
  </si>
  <si>
    <t>1001–1012</t>
  </si>
  <si>
    <t>1013–1024</t>
  </si>
  <si>
    <t>1025–1032</t>
  </si>
  <si>
    <t>1033–1040</t>
  </si>
  <si>
    <t>94 (supl.)</t>
  </si>
  <si>
    <t>1041–1048</t>
  </si>
  <si>
    <t>1049–1060</t>
  </si>
  <si>
    <t>1061–1072</t>
  </si>
  <si>
    <t>1073–1084</t>
  </si>
  <si>
    <t>1085–1092</t>
  </si>
  <si>
    <t>98 (supl.)</t>
  </si>
  <si>
    <t>1093–1100</t>
  </si>
  <si>
    <t>1101–1108</t>
  </si>
  <si>
    <t>99 (supl.)</t>
  </si>
  <si>
    <t>1109–1120</t>
  </si>
  <si>
    <t>1121–1132</t>
  </si>
  <si>
    <t>1133–1140</t>
  </si>
  <si>
    <t>1141–1148</t>
  </si>
  <si>
    <t>103 (supl.)</t>
  </si>
  <si>
    <t>103 (supl. 2)</t>
  </si>
  <si>
    <t>1149–1152</t>
  </si>
  <si>
    <t>1153–1164</t>
  </si>
  <si>
    <t>Alcance</t>
  </si>
  <si>
    <t>Índice de personas citadas en los 104 números y sus documentos asociados publicados durante el año 1804.</t>
  </si>
  <si>
    <t>Cobertura</t>
  </si>
  <si>
    <t>Periodo solicitado: 1 de enero–31 de diciembre de 1804. La Gazeta publicó el número 1 el 3 de enero y el número 104 el 28 de diciembre.</t>
  </si>
  <si>
    <t>Documentos</t>
  </si>
  <si>
    <t>Se han procesado 125 PDF: 104 números y 21 suplementos o documentos asociados; no hubo número extraordinario.</t>
  </si>
  <si>
    <t>Paginación</t>
  </si>
  <si>
    <t>La numeración principal llega a la página 1164. El suplemento del número 57 ocupa las páginas 635–640, mientras que el número 58 reinicia en la página 635, tal como consta en los facsímiles.</t>
  </si>
  <si>
    <t>Facsímiles</t>
  </si>
  <si>
    <t>Varios suplementos reúnen más páginas impresas que imágenes PDF; la hoja de fuentes conserva el rango impreso y cada registro enlaza con la imagen PDF correspondiente.</t>
  </si>
  <si>
    <t>Suplementos independientes</t>
  </si>
  <si>
    <t>Los documentos asociados a los números 17, 39, 48, 49, 50, 83, 99 y 103 tienen paginación independiente y se indican por página del PDF.</t>
  </si>
  <si>
    <t>Relación militar</t>
  </si>
  <si>
    <t>El suplemento independiente del número 48 se procesó también por columnas y filas para recuperar 186 registros de la relación militar.</t>
  </si>
  <si>
    <t>Ordenación</t>
  </si>
  <si>
    <t>La primera columna reordena de forma estimada apellidos y nombre para facilitar la búsqueda; «Nombre leído» conserva el orden de lectura.</t>
  </si>
  <si>
    <t>OCR</t>
  </si>
  <si>
    <t>La tipografía histórica y el estado del facsímil pueden producir confusiones de letras, tildes, partículas y guiones de final de línea.</t>
  </si>
  <si>
    <t>Estado</t>
  </si>
  <si>
    <t>«Revisado» = lectura comprobada; «Cotejo puntual» = contexto estable; «Cotejar OCR» = verificar en el facsímil antes de citar.</t>
  </si>
  <si>
    <t>Facsímil</t>
  </si>
  <si>
    <t>Todos los enlaces conducen a los PDF oficiales de la Gazeta histórica conservados por el Boletín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</si>
</sst>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20"/>
      <color rgb="FFFFFFFF"/>
      <name val="Aptos"/>
    </font>
    <font>
      <sz val="11"/>
      <color rgb="FFFFFFFF"/>
      <name val="Aptos"/>
    </font>
    <font>
      <b/>
      <sz val="10"/>
      <color rgb="FF17365D"/>
      <name val="Aptos"/>
    </font>
    <font>
      <i/>
      <sz val="10"/>
      <color rgb="FF7F6000"/>
      <name val="Aptos"/>
    </font>
    <font>
      <b/>
      <sz val="10"/>
      <color rgb="FFFFFFFF"/>
      <name val="Aptos"/>
    </font>
    <font>
      <sz val="9"/>
      <name val="Aptos"/>
    </font>
    <font>
      <sz val="9"/>
      <color rgb="FF0563C1"/>
      <name val="Aptos"/>
    </font>
    <font>
      <sz val="10"/>
      <name val="Aptos"/>
    </font>
    <font>
      <sz val="10"/>
      <color rgb="FF0563C1"/>
      <name val="Aptos"/>
    </font>
  </fonts>
  <fills count="6">
    <fill>
      <patternFill patternType="none"/>
    </fill>
    <fill>
      <patternFill patternType="gray125"/>
    </fill>
    <fill>
      <patternFill patternType="solid">
        <fgColor rgb="FF17365D"/>
      </patternFill>
    </fill>
    <fill>
      <patternFill patternType="solid">
        <fgColor rgb="FF1F4E78"/>
      </patternFill>
    </fill>
    <fill>
      <patternFill patternType="solid">
        <fgColor rgb="FFD9EAF7"/>
      </patternFill>
    </fill>
    <fill>
      <patternFill patternType="solid">
        <fgColor rgb="FFFFF2CC"/>
      </patternFill>
    </fill>
  </fills>
  <borders count="11">
    <border>
      <left/>
      <right/>
      <top/>
      <bottom/>
      <diagonal/>
    </border>
    <border>
      <left style="thin">
        <color rgb="FFA6B7C8"/>
      </left>
      <right style="thin">
        <color rgb="FFA6B7C8"/>
      </right>
      <top style="thin">
        <color rgb="FFA6B7C8"/>
      </top>
      <bottom style="thin">
        <color rgb="FFA6B7C8"/>
      </bottom>
      <diagonal/>
    </border>
    <border>
      <left/>
      <right style="thin">
        <color rgb="FFD9E2F3"/>
      </right>
      <top/>
      <bottom style="thin">
        <color rgb="FFD9E2F3"/>
      </bottom>
      <diagonal/>
    </border>
    <border>
      <left style="thin">
        <color rgb="FFD9E2F3"/>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style="thin">
        <color rgb="FFD9E2F3"/>
      </left>
      <right style="thin">
        <color rgb="FFD9E2F3"/>
      </right>
      <top style="thin">
        <color rgb="FFD9E2F3"/>
      </top>
      <bottom/>
      <diagonal/>
    </border>
    <border>
      <left style="thin">
        <color rgb="FFD9E2F3"/>
      </left>
      <right/>
      <top style="thin">
        <color rgb="FFD9E2F3"/>
      </top>
      <bottom/>
      <diagonal/>
    </border>
  </borders>
  <cellStyleXfs count="1">
    <xf numFmtId="0" fontId="0" fillId="0" borderId="0"/>
  </cellStyleXfs>
  <cellXfs count="35">
    <xf numFmtId="0" fontId="0" fillId="0" borderId="0" xfId="0"/>
    <xf numFmtId="0" fontId="5" fillId="2" borderId="1" xfId="0" applyFont="1" applyFill="1" applyBorder="1" applyAlignment="1">
      <alignment vertical="center"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3" xfId="0" applyFont="1" applyBorder="1" applyAlignment="1">
      <alignment horizontal="center" vertical="top" wrapText="1"/>
    </xf>
    <xf numFmtId="0" fontId="6" fillId="0" borderId="6" xfId="0" applyFont="1" applyBorder="1" applyAlignment="1">
      <alignment horizontal="center" vertical="top" wrapText="1"/>
    </xf>
    <xf numFmtId="0" fontId="6" fillId="0" borderId="9" xfId="0" applyFont="1" applyBorder="1" applyAlignment="1">
      <alignment horizontal="center" vertical="top"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6" fillId="0" borderId="4" xfId="0" applyFont="1" applyBorder="1" applyAlignment="1">
      <alignment horizontal="center" vertical="top" wrapText="1"/>
    </xf>
    <xf numFmtId="0" fontId="6" fillId="0" borderId="7" xfId="0" applyFont="1" applyBorder="1" applyAlignment="1">
      <alignment horizontal="center" vertical="top" wrapText="1"/>
    </xf>
    <xf numFmtId="0" fontId="6" fillId="0" borderId="10" xfId="0" applyFont="1" applyBorder="1" applyAlignment="1">
      <alignment horizontal="center" vertical="top" wrapText="1"/>
    </xf>
    <xf numFmtId="0" fontId="8" fillId="0" borderId="3"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3" fillId="4" borderId="6" xfId="0" applyFont="1" applyFill="1" applyBorder="1" applyAlignment="1">
      <alignment vertical="top"/>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xf>
    <xf numFmtId="0" fontId="4" fillId="5" borderId="0" xfId="0" applyFont="1" applyFill="1" applyAlignment="1">
      <alignment vertical="center" wrapText="1"/>
    </xf>
    <xf numFmtId="0" fontId="8" fillId="0" borderId="6" xfId="0" applyFont="1" applyBorder="1" applyAlignment="1">
      <alignment vertical="top" wrapText="1"/>
    </xf>
  </cellXfs>
  <cellStyles count="1">
    <cellStyle name="Normal" xfId="0" builtinId="0"/>
  </cellStyles>
  <dxfs count="2">
    <dxf>
      <font>
        <color rgb="FF375623"/>
      </font>
      <fill>
        <patternFill patternType="solid">
          <bgColor rgb="FFE2F0D9"/>
        </patternFill>
      </fill>
    </dxf>
    <dxf>
      <font>
        <color rgb="FF7F6000"/>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04" displayName="IndiceOnomasticoAnual1804" ref="A6:K5346" totalsRowShown="0">
  <autoFilter ref="A6:K5346"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Nº Gazeta"/>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04" displayName="FuentesGacetaAnual1804" ref="A3:E128" totalsRowShown="0">
  <autoFilter ref="A3:E128" xr:uid="{00000000-0009-0000-0100-000002000000}"/>
  <tableColumns count="5">
    <tableColumn id="1" xr3:uid="{00000000-0010-0000-0100-000001000000}" name="Nº Gazeta"/>
    <tableColumn id="2" xr3:uid="{00000000-0010-0000-0100-000002000000}" name="Fecha"/>
    <tableColumn id="3" xr3:uid="{00000000-0010-0000-0100-000003000000}" name="Páginas impresas"/>
    <tableColumn id="4" xr3:uid="{00000000-0010-0000-0100-000004000000}" name="Registros"/>
    <tableColumn id="5" xr3:uid="{00000000-0010-0000-0100-000005000000}" name="Fascículo oficial (PDF)"/>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A1:K53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14" customWidth="1"/>
    <col min="7" max="7" width="13" customWidth="1"/>
    <col min="8" max="8" width="38" customWidth="1"/>
    <col min="9" max="9" width="45" customWidth="1"/>
    <col min="10" max="10" width="18" customWidth="1"/>
    <col min="11" max="11" width="17" customWidth="1"/>
  </cols>
  <sheetData>
    <row r="1" spans="1:11" ht="32.1" customHeight="1">
      <c r="A1" s="30" t="s">
        <v>0</v>
      </c>
      <c r="B1" s="30"/>
      <c r="C1" s="30"/>
      <c r="D1" s="30"/>
      <c r="E1" s="30"/>
      <c r="F1" s="30"/>
      <c r="G1" s="30"/>
      <c r="H1" s="30"/>
      <c r="I1" s="30"/>
      <c r="J1" s="30"/>
      <c r="K1" s="30"/>
    </row>
    <row r="2" spans="1:11" ht="24" customHeight="1">
      <c r="A2" s="31" t="s">
        <v>1</v>
      </c>
      <c r="B2" s="31"/>
      <c r="C2" s="31"/>
      <c r="D2" s="31"/>
      <c r="E2" s="31"/>
      <c r="F2" s="31"/>
      <c r="G2" s="31"/>
      <c r="H2" s="31"/>
      <c r="I2" s="31"/>
      <c r="J2" s="31"/>
      <c r="K2" s="31"/>
    </row>
    <row r="3" spans="1:11">
      <c r="A3" s="32" t="s">
        <v>2</v>
      </c>
      <c r="B3" s="32"/>
      <c r="C3" s="32"/>
      <c r="D3" s="32" t="s">
        <v>3</v>
      </c>
      <c r="E3" s="32"/>
      <c r="F3" s="32"/>
      <c r="G3" s="32"/>
      <c r="H3" s="32"/>
      <c r="I3" s="32"/>
      <c r="J3" s="32"/>
      <c r="K3" s="32"/>
    </row>
    <row r="4" spans="1:11" ht="30" customHeight="1">
      <c r="A4" s="33" t="s">
        <v>4</v>
      </c>
      <c r="B4" s="33"/>
      <c r="C4" s="33"/>
      <c r="D4" s="33"/>
      <c r="E4" s="33"/>
      <c r="F4" s="33"/>
      <c r="G4" s="33"/>
      <c r="H4" s="33"/>
      <c r="I4" s="33"/>
      <c r="J4" s="33"/>
      <c r="K4" s="33"/>
    </row>
    <row r="6" spans="1:11" ht="33.950000000000003" customHeight="1">
      <c r="A6" s="1" t="s">
        <v>5</v>
      </c>
      <c r="B6" s="1" t="s">
        <v>6</v>
      </c>
      <c r="C6" s="1" t="s">
        <v>7</v>
      </c>
      <c r="D6" s="1" t="s">
        <v>8</v>
      </c>
      <c r="E6" s="1" t="s">
        <v>9</v>
      </c>
      <c r="F6" s="1" t="s">
        <v>10</v>
      </c>
      <c r="G6" s="1" t="s">
        <v>11</v>
      </c>
      <c r="H6" s="1" t="s">
        <v>12</v>
      </c>
      <c r="I6" s="1" t="s">
        <v>13</v>
      </c>
      <c r="J6" s="1" t="s">
        <v>14</v>
      </c>
      <c r="K6" s="1" t="s">
        <v>15</v>
      </c>
    </row>
    <row r="7" spans="1:11" ht="42" customHeight="1">
      <c r="A7" s="2" t="s">
        <v>16</v>
      </c>
      <c r="B7" s="3" t="s">
        <v>16</v>
      </c>
      <c r="C7" s="3" t="s">
        <v>17</v>
      </c>
      <c r="D7" s="3" t="s">
        <v>18</v>
      </c>
      <c r="E7" s="3" t="s">
        <v>19</v>
      </c>
      <c r="F7" s="8">
        <v>60</v>
      </c>
      <c r="G7" s="8">
        <v>669</v>
      </c>
      <c r="H7" s="3" t="s">
        <v>20</v>
      </c>
      <c r="I7" s="3" t="s">
        <v>21</v>
      </c>
      <c r="J7" s="11" t="str">
        <f>HYPERLINK("https://www.boe.es/gazeta/dias/1804/07/27/pdfs/GMD-1804-60.pdf#page=11","Abrir facsímil")</f>
        <v>Abrir facsímil</v>
      </c>
      <c r="K7" s="14" t="s">
        <v>22</v>
      </c>
    </row>
    <row r="8" spans="1:11" ht="42" customHeight="1">
      <c r="A8" s="4" t="s">
        <v>16</v>
      </c>
      <c r="B8" s="5" t="s">
        <v>16</v>
      </c>
      <c r="C8" s="5" t="s">
        <v>17</v>
      </c>
      <c r="D8" s="5" t="s">
        <v>18</v>
      </c>
      <c r="E8" s="5" t="s">
        <v>23</v>
      </c>
      <c r="F8" s="9">
        <v>91</v>
      </c>
      <c r="G8" s="9">
        <v>1011</v>
      </c>
      <c r="H8" s="5" t="s">
        <v>20</v>
      </c>
      <c r="I8" s="5" t="s">
        <v>24</v>
      </c>
      <c r="J8" s="12" t="str">
        <f>HYPERLINK("https://www.boe.es/gazeta/dias/1804/11/13/pdfs/GMD-1804-91.pdf#page=11","Abrir facsímil")</f>
        <v>Abrir facsímil</v>
      </c>
      <c r="K8" s="15" t="s">
        <v>22</v>
      </c>
    </row>
    <row r="9" spans="1:11" ht="42" customHeight="1">
      <c r="A9" s="4" t="s">
        <v>25</v>
      </c>
      <c r="B9" s="5" t="s">
        <v>26</v>
      </c>
      <c r="C9" s="5" t="s">
        <v>27</v>
      </c>
      <c r="D9" s="5" t="s">
        <v>28</v>
      </c>
      <c r="E9" s="5" t="s">
        <v>29</v>
      </c>
      <c r="F9" s="9">
        <v>88</v>
      </c>
      <c r="G9" s="9">
        <v>977</v>
      </c>
      <c r="H9" s="5" t="s">
        <v>20</v>
      </c>
      <c r="I9" s="5" t="s">
        <v>30</v>
      </c>
      <c r="J9" s="12" t="str">
        <f>HYPERLINK("https://www.boe.es/gazeta/dias/1804/11/02/pdfs/GMD-1804-88.pdf#page=9","Abrir facsímil")</f>
        <v>Abrir facsímil</v>
      </c>
      <c r="K9" s="15" t="s">
        <v>22</v>
      </c>
    </row>
    <row r="10" spans="1:11" ht="42" customHeight="1">
      <c r="A10" s="4" t="s">
        <v>31</v>
      </c>
      <c r="B10" s="5" t="s">
        <v>32</v>
      </c>
      <c r="C10" s="5" t="s">
        <v>27</v>
      </c>
      <c r="D10" s="5" t="s">
        <v>28</v>
      </c>
      <c r="E10" s="5" t="s">
        <v>33</v>
      </c>
      <c r="F10" s="9">
        <v>48</v>
      </c>
      <c r="G10" s="9">
        <v>537</v>
      </c>
      <c r="H10" s="5" t="s">
        <v>20</v>
      </c>
      <c r="I10" s="5" t="s">
        <v>34</v>
      </c>
      <c r="J10" s="12" t="str">
        <f>HYPERLINK("https://www.boe.es/gazeta/dias/1804/06/15/pdfs/GMD-1804-48.pdf#page=7","Abrir facsímil")</f>
        <v>Abrir facsímil</v>
      </c>
      <c r="K10" s="15" t="s">
        <v>22</v>
      </c>
    </row>
    <row r="11" spans="1:11" ht="42" customHeight="1">
      <c r="A11" s="4" t="s">
        <v>35</v>
      </c>
      <c r="B11" s="5" t="s">
        <v>36</v>
      </c>
      <c r="C11" s="5" t="s">
        <v>27</v>
      </c>
      <c r="D11" s="5" t="s">
        <v>28</v>
      </c>
      <c r="E11" s="5" t="s">
        <v>37</v>
      </c>
      <c r="F11" s="9">
        <v>29</v>
      </c>
      <c r="G11" s="9">
        <v>318</v>
      </c>
      <c r="H11" s="5" t="s">
        <v>20</v>
      </c>
      <c r="I11" s="5" t="s">
        <v>38</v>
      </c>
      <c r="J11" s="12" t="str">
        <f>HYPERLINK("https://www.boe.es/gazeta/dias/1804/04/10/pdfs/GMD-1804-29.pdf#page=8","Abrir facsímil")</f>
        <v>Abrir facsímil</v>
      </c>
      <c r="K11" s="15" t="s">
        <v>22</v>
      </c>
    </row>
    <row r="12" spans="1:11" ht="42" customHeight="1">
      <c r="A12" s="4" t="s">
        <v>39</v>
      </c>
      <c r="B12" s="5" t="s">
        <v>40</v>
      </c>
      <c r="C12" s="5" t="s">
        <v>27</v>
      </c>
      <c r="D12" s="5" t="s">
        <v>28</v>
      </c>
      <c r="E12" s="5" t="s">
        <v>41</v>
      </c>
      <c r="F12" s="9">
        <v>24</v>
      </c>
      <c r="G12" s="9">
        <v>276</v>
      </c>
      <c r="H12" s="5" t="s">
        <v>20</v>
      </c>
      <c r="I12" s="5" t="s">
        <v>42</v>
      </c>
      <c r="J12" s="12" t="str">
        <f>HYPERLINK("https://www.boe.es/gazeta/dias/1804/03/23/pdfs/GMD-1804-24.pdf#page=10","Abrir facsímil")</f>
        <v>Abrir facsímil</v>
      </c>
      <c r="K12" s="15" t="s">
        <v>22</v>
      </c>
    </row>
    <row r="13" spans="1:11" ht="42" customHeight="1">
      <c r="A13" s="4" t="s">
        <v>39</v>
      </c>
      <c r="B13" s="5" t="s">
        <v>40</v>
      </c>
      <c r="C13" s="5" t="s">
        <v>27</v>
      </c>
      <c r="D13" s="5" t="s">
        <v>28</v>
      </c>
      <c r="E13" s="5" t="s">
        <v>43</v>
      </c>
      <c r="F13" s="9">
        <v>84</v>
      </c>
      <c r="G13" s="9">
        <v>928</v>
      </c>
      <c r="H13" s="5" t="s">
        <v>20</v>
      </c>
      <c r="I13" s="5" t="s">
        <v>44</v>
      </c>
      <c r="J13" s="12" t="str">
        <f>HYPERLINK("https://www.boe.es/gazeta/dias/1804/10/19/pdfs/GMD-1804-84.pdf#page=6","Abrir facsímil")</f>
        <v>Abrir facsímil</v>
      </c>
      <c r="K13" s="15" t="s">
        <v>22</v>
      </c>
    </row>
    <row r="14" spans="1:11" ht="42" customHeight="1">
      <c r="A14" s="4" t="s">
        <v>45</v>
      </c>
      <c r="B14" s="5" t="s">
        <v>46</v>
      </c>
      <c r="C14" s="5" t="s">
        <v>27</v>
      </c>
      <c r="D14" s="5" t="s">
        <v>28</v>
      </c>
      <c r="E14" s="5" t="s">
        <v>47</v>
      </c>
      <c r="F14" s="9">
        <v>78</v>
      </c>
      <c r="G14" s="9">
        <v>868</v>
      </c>
      <c r="H14" s="5" t="s">
        <v>20</v>
      </c>
      <c r="I14" s="5" t="s">
        <v>48</v>
      </c>
      <c r="J14" s="12" t="str">
        <f>HYPERLINK("https://www.boe.es/gazeta/dias/1804/09/28/pdfs/GMD-1804-78.pdf#page=6","Abrir facsímil")</f>
        <v>Abrir facsímil</v>
      </c>
      <c r="K14" s="15" t="s">
        <v>22</v>
      </c>
    </row>
    <row r="15" spans="1:11" ht="42" customHeight="1">
      <c r="A15" s="4" t="s">
        <v>49</v>
      </c>
      <c r="B15" s="5" t="s">
        <v>49</v>
      </c>
      <c r="C15" s="5" t="s">
        <v>17</v>
      </c>
      <c r="D15" s="5" t="s">
        <v>18</v>
      </c>
      <c r="E15" s="5" t="s">
        <v>50</v>
      </c>
      <c r="F15" s="9">
        <v>93</v>
      </c>
      <c r="G15" s="9">
        <v>1032</v>
      </c>
      <c r="H15" s="5" t="s">
        <v>20</v>
      </c>
      <c r="I15" s="5" t="s">
        <v>51</v>
      </c>
      <c r="J15" s="12" t="str">
        <f>HYPERLINK("https://www.boe.es/gazeta/dias/1804/11/20/pdfs/GMD-1804-93.pdf#page=8","Abrir facsímil")</f>
        <v>Abrir facsímil</v>
      </c>
      <c r="K15" s="15" t="s">
        <v>22</v>
      </c>
    </row>
    <row r="16" spans="1:11" ht="42" customHeight="1">
      <c r="A16" s="4" t="s">
        <v>52</v>
      </c>
      <c r="B16" s="5" t="s">
        <v>53</v>
      </c>
      <c r="C16" s="5" t="s">
        <v>17</v>
      </c>
      <c r="D16" s="5" t="s">
        <v>18</v>
      </c>
      <c r="E16" s="5" t="s">
        <v>54</v>
      </c>
      <c r="F16" s="9">
        <v>63</v>
      </c>
      <c r="G16" s="9">
        <v>699</v>
      </c>
      <c r="H16" s="5" t="s">
        <v>20</v>
      </c>
      <c r="I16" s="5" t="s">
        <v>55</v>
      </c>
      <c r="J16" s="12" t="str">
        <f>HYPERLINK("https://www.boe.es/gazeta/dias/1804/08/07/pdfs/GMD-1804-63.pdf#page=9","Abrir facsímil")</f>
        <v>Abrir facsímil</v>
      </c>
      <c r="K16" s="15" t="s">
        <v>22</v>
      </c>
    </row>
    <row r="17" spans="1:11" ht="42" customHeight="1">
      <c r="A17" s="4" t="s">
        <v>56</v>
      </c>
      <c r="B17" s="5" t="s">
        <v>56</v>
      </c>
      <c r="C17" s="5" t="s">
        <v>57</v>
      </c>
      <c r="D17" s="5" t="s">
        <v>58</v>
      </c>
      <c r="E17" s="5" t="s">
        <v>59</v>
      </c>
      <c r="F17" s="9">
        <v>55</v>
      </c>
      <c r="G17" s="9">
        <v>603</v>
      </c>
      <c r="H17" s="5" t="s">
        <v>20</v>
      </c>
      <c r="I17" s="5" t="s">
        <v>60</v>
      </c>
      <c r="J17" s="12" t="str">
        <f>HYPERLINK("https://www.boe.es/gazeta/dias/1804/07/10/pdfs/GMD-1804-55.pdf#page=1","Abrir facsímil")</f>
        <v>Abrir facsímil</v>
      </c>
      <c r="K17" s="15" t="s">
        <v>22</v>
      </c>
    </row>
    <row r="18" spans="1:11" ht="42" customHeight="1">
      <c r="A18" s="4" t="s">
        <v>56</v>
      </c>
      <c r="B18" s="5" t="s">
        <v>56</v>
      </c>
      <c r="C18" s="5" t="s">
        <v>57</v>
      </c>
      <c r="D18" s="5" t="s">
        <v>58</v>
      </c>
      <c r="E18" s="5" t="s">
        <v>61</v>
      </c>
      <c r="F18" s="9">
        <v>61</v>
      </c>
      <c r="G18" s="9">
        <v>675</v>
      </c>
      <c r="H18" s="5" t="s">
        <v>20</v>
      </c>
      <c r="I18" s="5" t="s">
        <v>62</v>
      </c>
      <c r="J18" s="12" t="str">
        <f>HYPERLINK("https://www.boe.es/gazeta/dias/1804/07/31/pdfs/GMD-1804-61.pdf#page=5","Abrir facsímil")</f>
        <v>Abrir facsímil</v>
      </c>
      <c r="K18" s="15" t="s">
        <v>22</v>
      </c>
    </row>
    <row r="19" spans="1:11" ht="42" customHeight="1">
      <c r="A19" s="4" t="s">
        <v>63</v>
      </c>
      <c r="B19" s="5" t="s">
        <v>64</v>
      </c>
      <c r="C19" s="5" t="s">
        <v>65</v>
      </c>
      <c r="D19" s="5" t="s">
        <v>66</v>
      </c>
      <c r="E19" s="5" t="s">
        <v>67</v>
      </c>
      <c r="F19" s="9">
        <v>59</v>
      </c>
      <c r="G19" s="9">
        <v>653</v>
      </c>
      <c r="H19" s="5" t="s">
        <v>20</v>
      </c>
      <c r="I19" s="5" t="s">
        <v>68</v>
      </c>
      <c r="J19" s="12" t="str">
        <f>HYPERLINK("https://www.boe.es/gazeta/dias/1804/07/24/pdfs/GMD-1804-59.pdf#page=7","Abrir facsímil")</f>
        <v>Abrir facsímil</v>
      </c>
      <c r="K19" s="15" t="s">
        <v>22</v>
      </c>
    </row>
    <row r="20" spans="1:11" ht="42" customHeight="1">
      <c r="A20" s="4" t="s">
        <v>69</v>
      </c>
      <c r="B20" s="5" t="s">
        <v>70</v>
      </c>
      <c r="C20" s="5" t="s">
        <v>17</v>
      </c>
      <c r="D20" s="5" t="s">
        <v>18</v>
      </c>
      <c r="E20" s="5" t="s">
        <v>71</v>
      </c>
      <c r="F20" s="9">
        <v>99</v>
      </c>
      <c r="G20" s="9">
        <v>1107</v>
      </c>
      <c r="H20" s="5" t="s">
        <v>20</v>
      </c>
      <c r="I20" s="5" t="s">
        <v>72</v>
      </c>
      <c r="J20" s="12" t="str">
        <f>HYPERLINK("https://www.boe.es/gazeta/dias/1804/12/11/pdfs/GMD-1804-99.pdf#page=7","Abrir facsímil")</f>
        <v>Abrir facsímil</v>
      </c>
      <c r="K20" s="15" t="s">
        <v>22</v>
      </c>
    </row>
    <row r="21" spans="1:11" ht="42" customHeight="1">
      <c r="A21" s="4" t="s">
        <v>73</v>
      </c>
      <c r="B21" s="5" t="s">
        <v>74</v>
      </c>
      <c r="C21" s="5" t="s">
        <v>65</v>
      </c>
      <c r="D21" s="5" t="s">
        <v>66</v>
      </c>
      <c r="E21" s="5" t="s">
        <v>75</v>
      </c>
      <c r="F21" s="9">
        <v>16</v>
      </c>
      <c r="G21" s="9">
        <v>174</v>
      </c>
      <c r="H21" s="5" t="s">
        <v>20</v>
      </c>
      <c r="I21" s="5" t="s">
        <v>76</v>
      </c>
      <c r="J21" s="12" t="str">
        <f>HYPERLINK("https://www.boe.es/gazeta/dias/1804/02/24/pdfs/GMD-1804-16.pdf#page=10","Abrir facsímil")</f>
        <v>Abrir facsímil</v>
      </c>
      <c r="K21" s="15" t="s">
        <v>22</v>
      </c>
    </row>
    <row r="22" spans="1:11" ht="42" customHeight="1">
      <c r="A22" s="4" t="s">
        <v>73</v>
      </c>
      <c r="B22" s="5" t="s">
        <v>74</v>
      </c>
      <c r="C22" s="5" t="s">
        <v>65</v>
      </c>
      <c r="D22" s="5" t="s">
        <v>66</v>
      </c>
      <c r="E22" s="5" t="s">
        <v>77</v>
      </c>
      <c r="F22" s="9">
        <v>32</v>
      </c>
      <c r="G22" s="9">
        <v>356</v>
      </c>
      <c r="H22" s="5" t="s">
        <v>20</v>
      </c>
      <c r="I22" s="5" t="s">
        <v>78</v>
      </c>
      <c r="J22" s="12" t="str">
        <f>HYPERLINK("https://www.boe.es/gazeta/dias/1804/04/20/pdfs/GMD-1804-32.pdf#page=10","Abrir facsímil")</f>
        <v>Abrir facsímil</v>
      </c>
      <c r="K22" s="15" t="s">
        <v>22</v>
      </c>
    </row>
    <row r="23" spans="1:11" ht="42" customHeight="1">
      <c r="A23" s="4" t="s">
        <v>79</v>
      </c>
      <c r="B23" s="5" t="s">
        <v>80</v>
      </c>
      <c r="C23" s="5" t="s">
        <v>27</v>
      </c>
      <c r="D23" s="5" t="s">
        <v>28</v>
      </c>
      <c r="E23" s="5" t="s">
        <v>81</v>
      </c>
      <c r="F23" s="9">
        <v>98</v>
      </c>
      <c r="G23" s="9">
        <v>1088</v>
      </c>
      <c r="H23" s="5" t="s">
        <v>20</v>
      </c>
      <c r="I23" s="5" t="s">
        <v>82</v>
      </c>
      <c r="J23" s="12" t="str">
        <f>HYPERLINK("https://www.boe.es/gazeta/dias/1804/12/07/pdfs/GMD-1804-98.pdf#page=4","Abrir facsímil")</f>
        <v>Abrir facsímil</v>
      </c>
      <c r="K23" s="15" t="s">
        <v>22</v>
      </c>
    </row>
    <row r="24" spans="1:11" ht="42" customHeight="1">
      <c r="A24" s="4" t="s">
        <v>83</v>
      </c>
      <c r="B24" s="5" t="s">
        <v>84</v>
      </c>
      <c r="C24" s="5" t="s">
        <v>85</v>
      </c>
      <c r="D24" s="5" t="s">
        <v>86</v>
      </c>
      <c r="E24" s="5" t="s">
        <v>87</v>
      </c>
      <c r="F24" s="9">
        <v>9</v>
      </c>
      <c r="G24" s="9">
        <v>100</v>
      </c>
      <c r="H24" s="5" t="s">
        <v>20</v>
      </c>
      <c r="I24" s="5" t="s">
        <v>88</v>
      </c>
      <c r="J24" s="12" t="str">
        <f>HYPERLINK("https://www.boe.es/gazeta/dias/1804/01/31/pdfs/GMD-1804-9.pdf#page=12","Abrir facsímil")</f>
        <v>Abrir facsímil</v>
      </c>
      <c r="K24" s="15" t="s">
        <v>22</v>
      </c>
    </row>
    <row r="25" spans="1:11" ht="42" customHeight="1">
      <c r="A25" s="4" t="s">
        <v>89</v>
      </c>
      <c r="B25" s="5" t="s">
        <v>90</v>
      </c>
      <c r="C25" s="5" t="s">
        <v>27</v>
      </c>
      <c r="D25" s="5" t="s">
        <v>28</v>
      </c>
      <c r="E25" s="5" t="s">
        <v>91</v>
      </c>
      <c r="F25" s="9">
        <v>72</v>
      </c>
      <c r="G25" s="9">
        <v>806</v>
      </c>
      <c r="H25" s="5" t="s">
        <v>20</v>
      </c>
      <c r="I25" s="5" t="s">
        <v>92</v>
      </c>
      <c r="J25" s="12" t="str">
        <f>HYPERLINK("https://www.boe.es/gazeta/dias/1804/09/07/pdfs/GMD-1804-72.pdf#page=8","Abrir facsímil")</f>
        <v>Abrir facsímil</v>
      </c>
      <c r="K25" s="15" t="s">
        <v>22</v>
      </c>
    </row>
    <row r="26" spans="1:11" ht="42" customHeight="1">
      <c r="A26" s="4" t="s">
        <v>93</v>
      </c>
      <c r="B26" s="5" t="s">
        <v>94</v>
      </c>
      <c r="C26" s="5" t="s">
        <v>17</v>
      </c>
      <c r="D26" s="5" t="s">
        <v>18</v>
      </c>
      <c r="E26" s="5" t="s">
        <v>54</v>
      </c>
      <c r="F26" s="9">
        <v>63</v>
      </c>
      <c r="G26" s="9">
        <v>699</v>
      </c>
      <c r="H26" s="5" t="s">
        <v>20</v>
      </c>
      <c r="I26" s="5" t="s">
        <v>95</v>
      </c>
      <c r="J26" s="12" t="str">
        <f>HYPERLINK("https://www.boe.es/gazeta/dias/1804/08/07/pdfs/GMD-1804-63.pdf#page=9","Abrir facsímil")</f>
        <v>Abrir facsímil</v>
      </c>
      <c r="K26" s="15" t="s">
        <v>22</v>
      </c>
    </row>
    <row r="27" spans="1:11" ht="42" customHeight="1">
      <c r="A27" s="4" t="s">
        <v>96</v>
      </c>
      <c r="B27" s="5" t="s">
        <v>96</v>
      </c>
      <c r="C27" s="5" t="s">
        <v>27</v>
      </c>
      <c r="D27" s="5" t="s">
        <v>28</v>
      </c>
      <c r="E27" s="5" t="s">
        <v>97</v>
      </c>
      <c r="F27" s="9">
        <v>50</v>
      </c>
      <c r="G27" s="9" t="s">
        <v>98</v>
      </c>
      <c r="H27" s="5" t="s">
        <v>20</v>
      </c>
      <c r="I27" s="5" t="s">
        <v>99</v>
      </c>
      <c r="J27" s="12" t="str">
        <f>HYPERLINK("https://www.boe.es/gazeta/dias/1804/06/22/pdfs/GMD-C-1804-50.pdf#page=1","Abrir facsímil")</f>
        <v>Abrir facsímil</v>
      </c>
      <c r="K27" s="15" t="s">
        <v>22</v>
      </c>
    </row>
    <row r="28" spans="1:11" ht="42" customHeight="1">
      <c r="A28" s="4" t="s">
        <v>100</v>
      </c>
      <c r="B28" s="5" t="s">
        <v>100</v>
      </c>
      <c r="C28" s="5" t="s">
        <v>57</v>
      </c>
      <c r="D28" s="5" t="s">
        <v>58</v>
      </c>
      <c r="E28" s="5" t="s">
        <v>81</v>
      </c>
      <c r="F28" s="9">
        <v>98</v>
      </c>
      <c r="G28" s="9">
        <v>1087</v>
      </c>
      <c r="H28" s="5" t="s">
        <v>20</v>
      </c>
      <c r="I28" s="5" t="s">
        <v>101</v>
      </c>
      <c r="J28" s="12" t="str">
        <f>HYPERLINK("https://www.boe.es/gazeta/dias/1804/12/07/pdfs/GMD-1804-98.pdf#page=3","Abrir facsímil")</f>
        <v>Abrir facsímil</v>
      </c>
      <c r="K28" s="15" t="s">
        <v>22</v>
      </c>
    </row>
    <row r="29" spans="1:11" ht="42" customHeight="1">
      <c r="A29" s="4" t="s">
        <v>102</v>
      </c>
      <c r="B29" s="5" t="s">
        <v>102</v>
      </c>
      <c r="C29" s="5" t="s">
        <v>57</v>
      </c>
      <c r="D29" s="5" t="s">
        <v>58</v>
      </c>
      <c r="E29" s="5" t="s">
        <v>103</v>
      </c>
      <c r="F29" s="9">
        <v>11</v>
      </c>
      <c r="G29" s="9">
        <v>117</v>
      </c>
      <c r="H29" s="5" t="s">
        <v>20</v>
      </c>
      <c r="I29" s="5" t="s">
        <v>104</v>
      </c>
      <c r="J29" s="12" t="str">
        <f>HYPERLINK("https://www.boe.es/gazeta/dias/1804/02/07/pdfs/GMD-1804-11.pdf#page=5","Abrir facsímil")</f>
        <v>Abrir facsímil</v>
      </c>
      <c r="K29" s="15" t="s">
        <v>22</v>
      </c>
    </row>
    <row r="30" spans="1:11" ht="42" customHeight="1">
      <c r="A30" s="4" t="s">
        <v>102</v>
      </c>
      <c r="B30" s="5" t="s">
        <v>102</v>
      </c>
      <c r="C30" s="5" t="s">
        <v>27</v>
      </c>
      <c r="D30" s="5" t="s">
        <v>28</v>
      </c>
      <c r="E30" s="5" t="s">
        <v>37</v>
      </c>
      <c r="F30" s="9">
        <v>29</v>
      </c>
      <c r="G30" s="9">
        <v>313</v>
      </c>
      <c r="H30" s="5" t="s">
        <v>20</v>
      </c>
      <c r="I30" s="5" t="s">
        <v>105</v>
      </c>
      <c r="J30" s="12" t="str">
        <f>HYPERLINK("https://www.boe.es/gazeta/dias/1804/04/10/pdfs/GMD-1804-29.pdf#page=3","Abrir facsímil")</f>
        <v>Abrir facsímil</v>
      </c>
      <c r="K30" s="15" t="s">
        <v>22</v>
      </c>
    </row>
    <row r="31" spans="1:11" ht="42" customHeight="1">
      <c r="A31" s="4" t="s">
        <v>102</v>
      </c>
      <c r="B31" s="5" t="s">
        <v>102</v>
      </c>
      <c r="C31" s="5" t="s">
        <v>57</v>
      </c>
      <c r="D31" s="5" t="s">
        <v>58</v>
      </c>
      <c r="E31" s="5" t="s">
        <v>106</v>
      </c>
      <c r="F31" s="9">
        <v>34</v>
      </c>
      <c r="G31" s="9">
        <v>372</v>
      </c>
      <c r="H31" s="5" t="s">
        <v>20</v>
      </c>
      <c r="I31" s="5" t="s">
        <v>107</v>
      </c>
      <c r="J31" s="12" t="str">
        <f>HYPERLINK("https://www.boe.es/gazeta/dias/1804/04/27/pdfs/GMD-1804-34.pdf#page=2","Abrir facsímil")</f>
        <v>Abrir facsímil</v>
      </c>
      <c r="K31" s="15" t="s">
        <v>22</v>
      </c>
    </row>
    <row r="32" spans="1:11" ht="42" customHeight="1">
      <c r="A32" s="4" t="s">
        <v>102</v>
      </c>
      <c r="B32" s="5" t="s">
        <v>102</v>
      </c>
      <c r="C32" s="5" t="s">
        <v>27</v>
      </c>
      <c r="D32" s="5" t="s">
        <v>28</v>
      </c>
      <c r="E32" s="5" t="s">
        <v>106</v>
      </c>
      <c r="F32" s="9">
        <v>34</v>
      </c>
      <c r="G32" s="9">
        <v>373</v>
      </c>
      <c r="H32" s="5" t="s">
        <v>20</v>
      </c>
      <c r="I32" s="5" t="s">
        <v>108</v>
      </c>
      <c r="J32" s="12" t="str">
        <f>HYPERLINK("https://www.boe.es/gazeta/dias/1804/04/27/pdfs/GMD-1804-34.pdf#page=3","Abrir facsímil")</f>
        <v>Abrir facsímil</v>
      </c>
      <c r="K32" s="15" t="s">
        <v>22</v>
      </c>
    </row>
    <row r="33" spans="1:11" ht="42" customHeight="1">
      <c r="A33" s="4" t="s">
        <v>102</v>
      </c>
      <c r="B33" s="5" t="s">
        <v>102</v>
      </c>
      <c r="C33" s="5" t="s">
        <v>17</v>
      </c>
      <c r="D33" s="5" t="s">
        <v>18</v>
      </c>
      <c r="E33" s="5" t="s">
        <v>109</v>
      </c>
      <c r="F33" s="9">
        <v>35</v>
      </c>
      <c r="G33" s="9">
        <v>382</v>
      </c>
      <c r="H33" s="5" t="s">
        <v>20</v>
      </c>
      <c r="I33" s="5" t="s">
        <v>110</v>
      </c>
      <c r="J33" s="12" t="str">
        <f>HYPERLINK("https://www.boe.es/gazeta/dias/1804/05/01/pdfs/GMD-1804-35.pdf#page=4","Abrir facsímil")</f>
        <v>Abrir facsímil</v>
      </c>
      <c r="K33" s="15" t="s">
        <v>22</v>
      </c>
    </row>
    <row r="34" spans="1:11" ht="42" customHeight="1">
      <c r="A34" s="4" t="s">
        <v>102</v>
      </c>
      <c r="B34" s="5" t="s">
        <v>102</v>
      </c>
      <c r="C34" s="5" t="s">
        <v>57</v>
      </c>
      <c r="D34" s="5" t="s">
        <v>58</v>
      </c>
      <c r="E34" s="5" t="s">
        <v>111</v>
      </c>
      <c r="F34" s="9">
        <v>40</v>
      </c>
      <c r="G34" s="9">
        <v>441</v>
      </c>
      <c r="H34" s="5" t="s">
        <v>20</v>
      </c>
      <c r="I34" s="5" t="s">
        <v>112</v>
      </c>
      <c r="J34" s="12" t="str">
        <f>HYPERLINK("https://www.boe.es/gazeta/dias/1804/05/18/pdfs/GMD-1804-40.pdf#page=3","Abrir facsímil")</f>
        <v>Abrir facsímil</v>
      </c>
      <c r="K34" s="15" t="s">
        <v>22</v>
      </c>
    </row>
    <row r="35" spans="1:11" ht="42" customHeight="1">
      <c r="A35" s="4" t="s">
        <v>102</v>
      </c>
      <c r="B35" s="5" t="s">
        <v>102</v>
      </c>
      <c r="C35" s="5" t="s">
        <v>27</v>
      </c>
      <c r="D35" s="5" t="s">
        <v>28</v>
      </c>
      <c r="E35" s="5" t="s">
        <v>97</v>
      </c>
      <c r="F35" s="9">
        <v>50</v>
      </c>
      <c r="G35" s="9">
        <v>551</v>
      </c>
      <c r="H35" s="5" t="s">
        <v>20</v>
      </c>
      <c r="I35" s="5" t="s">
        <v>113</v>
      </c>
      <c r="J35" s="12" t="str">
        <f>HYPERLINK("https://www.boe.es/gazeta/dias/1804/06/22/pdfs/GMD-1804-50.pdf#page=5","Abrir facsímil")</f>
        <v>Abrir facsímil</v>
      </c>
      <c r="K35" s="15" t="s">
        <v>22</v>
      </c>
    </row>
    <row r="36" spans="1:11" ht="42" customHeight="1">
      <c r="A36" s="4" t="s">
        <v>102</v>
      </c>
      <c r="B36" s="5" t="s">
        <v>102</v>
      </c>
      <c r="C36" s="5" t="s">
        <v>57</v>
      </c>
      <c r="D36" s="5" t="s">
        <v>58</v>
      </c>
      <c r="E36" s="5" t="s">
        <v>59</v>
      </c>
      <c r="F36" s="9">
        <v>55</v>
      </c>
      <c r="G36" s="9">
        <v>604</v>
      </c>
      <c r="H36" s="5" t="s">
        <v>20</v>
      </c>
      <c r="I36" s="5" t="s">
        <v>114</v>
      </c>
      <c r="J36" s="12" t="str">
        <f>HYPERLINK("https://www.boe.es/gazeta/dias/1804/07/10/pdfs/GMD-1804-55.pdf#page=2","Abrir facsímil")</f>
        <v>Abrir facsímil</v>
      </c>
      <c r="K36" s="15" t="s">
        <v>22</v>
      </c>
    </row>
    <row r="37" spans="1:11" ht="42" customHeight="1">
      <c r="A37" s="4" t="s">
        <v>102</v>
      </c>
      <c r="B37" s="5" t="s">
        <v>102</v>
      </c>
      <c r="C37" s="5" t="s">
        <v>57</v>
      </c>
      <c r="D37" s="5" t="s">
        <v>58</v>
      </c>
      <c r="E37" s="5" t="s">
        <v>54</v>
      </c>
      <c r="F37" s="9">
        <v>63</v>
      </c>
      <c r="G37" s="9">
        <v>695</v>
      </c>
      <c r="H37" s="5" t="s">
        <v>20</v>
      </c>
      <c r="I37" s="5" t="s">
        <v>115</v>
      </c>
      <c r="J37" s="12" t="str">
        <f>HYPERLINK("https://www.boe.es/gazeta/dias/1804/08/07/pdfs/GMD-1804-63.pdf#page=5","Abrir facsímil")</f>
        <v>Abrir facsímil</v>
      </c>
      <c r="K37" s="15" t="s">
        <v>22</v>
      </c>
    </row>
    <row r="38" spans="1:11" ht="42" customHeight="1">
      <c r="A38" s="4" t="s">
        <v>116</v>
      </c>
      <c r="B38" s="5" t="s">
        <v>116</v>
      </c>
      <c r="C38" s="5" t="s">
        <v>27</v>
      </c>
      <c r="D38" s="5" t="s">
        <v>28</v>
      </c>
      <c r="E38" s="5" t="s">
        <v>106</v>
      </c>
      <c r="F38" s="9">
        <v>34</v>
      </c>
      <c r="G38" s="9">
        <v>373</v>
      </c>
      <c r="H38" s="5" t="s">
        <v>20</v>
      </c>
      <c r="I38" s="5" t="s">
        <v>117</v>
      </c>
      <c r="J38" s="12" t="str">
        <f>HYPERLINK("https://www.boe.es/gazeta/dias/1804/04/27/pdfs/GMD-1804-34.pdf#page=3","Abrir facsímil")</f>
        <v>Abrir facsímil</v>
      </c>
      <c r="K38" s="15" t="s">
        <v>22</v>
      </c>
    </row>
    <row r="39" spans="1:11" ht="42" customHeight="1">
      <c r="A39" s="4" t="s">
        <v>118</v>
      </c>
      <c r="B39" s="5" t="s">
        <v>119</v>
      </c>
      <c r="C39" s="5" t="s">
        <v>120</v>
      </c>
      <c r="D39" s="5" t="s">
        <v>121</v>
      </c>
      <c r="E39" s="5" t="s">
        <v>33</v>
      </c>
      <c r="F39" s="9">
        <v>48</v>
      </c>
      <c r="G39" s="9" t="s">
        <v>122</v>
      </c>
      <c r="H39" s="5" t="s">
        <v>20</v>
      </c>
      <c r="I39" s="5" t="s">
        <v>123</v>
      </c>
      <c r="J39" s="12" t="str">
        <f>HYPERLINK("https://www.boe.es/gazeta/dias/1804/06/15/pdfs/GMD-C-1804-48.pdf#page=3","Abrir facsímil")</f>
        <v>Abrir facsímil</v>
      </c>
      <c r="K39" s="15" t="s">
        <v>22</v>
      </c>
    </row>
    <row r="40" spans="1:11" ht="42" customHeight="1">
      <c r="A40" s="4" t="s">
        <v>124</v>
      </c>
      <c r="B40" s="5" t="s">
        <v>124</v>
      </c>
      <c r="C40" s="5" t="s">
        <v>65</v>
      </c>
      <c r="D40" s="5" t="s">
        <v>66</v>
      </c>
      <c r="E40" s="5" t="s">
        <v>109</v>
      </c>
      <c r="F40" s="9">
        <v>35</v>
      </c>
      <c r="G40" s="9">
        <v>387</v>
      </c>
      <c r="H40" s="5" t="s">
        <v>20</v>
      </c>
      <c r="I40" s="5" t="s">
        <v>125</v>
      </c>
      <c r="J40" s="12" t="str">
        <f>HYPERLINK("https://www.boe.es/gazeta/dias/1804/05/01/pdfs/GMD-1804-35.pdf#page=9","Abrir facsímil")</f>
        <v>Abrir facsímil</v>
      </c>
      <c r="K40" s="15" t="s">
        <v>22</v>
      </c>
    </row>
    <row r="41" spans="1:11" ht="42" customHeight="1">
      <c r="A41" s="4" t="s">
        <v>126</v>
      </c>
      <c r="B41" s="5" t="s">
        <v>126</v>
      </c>
      <c r="C41" s="5" t="s">
        <v>27</v>
      </c>
      <c r="D41" s="5" t="s">
        <v>28</v>
      </c>
      <c r="E41" s="5" t="s">
        <v>81</v>
      </c>
      <c r="F41" s="9">
        <v>98</v>
      </c>
      <c r="G41" s="9">
        <v>1089</v>
      </c>
      <c r="H41" s="5" t="s">
        <v>20</v>
      </c>
      <c r="I41" s="5" t="s">
        <v>127</v>
      </c>
      <c r="J41" s="12" t="str">
        <f>HYPERLINK("https://www.boe.es/gazeta/dias/1804/12/07/pdfs/GMD-1804-98.pdf#page=5","Abrir facsímil")</f>
        <v>Abrir facsímil</v>
      </c>
      <c r="K41" s="15" t="s">
        <v>22</v>
      </c>
    </row>
    <row r="42" spans="1:11" ht="42" customHeight="1">
      <c r="A42" s="4" t="s">
        <v>128</v>
      </c>
      <c r="B42" s="5" t="s">
        <v>128</v>
      </c>
      <c r="C42" s="5" t="s">
        <v>17</v>
      </c>
      <c r="D42" s="5" t="s">
        <v>18</v>
      </c>
      <c r="E42" s="5" t="s">
        <v>71</v>
      </c>
      <c r="F42" s="9">
        <v>99</v>
      </c>
      <c r="G42" s="9">
        <v>1106</v>
      </c>
      <c r="H42" s="5" t="s">
        <v>20</v>
      </c>
      <c r="I42" s="5" t="s">
        <v>129</v>
      </c>
      <c r="J42" s="12" t="str">
        <f>HYPERLINK("https://www.boe.es/gazeta/dias/1804/12/11/pdfs/GMD-1804-99.pdf#page=6","Abrir facsímil")</f>
        <v>Abrir facsímil</v>
      </c>
      <c r="K42" s="15" t="s">
        <v>22</v>
      </c>
    </row>
    <row r="43" spans="1:11" ht="42" customHeight="1">
      <c r="A43" s="4" t="s">
        <v>130</v>
      </c>
      <c r="B43" s="5" t="s">
        <v>131</v>
      </c>
      <c r="C43" s="5" t="s">
        <v>65</v>
      </c>
      <c r="D43" s="5" t="s">
        <v>66</v>
      </c>
      <c r="E43" s="5" t="s">
        <v>132</v>
      </c>
      <c r="F43" s="9">
        <v>52</v>
      </c>
      <c r="G43" s="9">
        <v>574</v>
      </c>
      <c r="H43" s="5" t="s">
        <v>20</v>
      </c>
      <c r="I43" s="5" t="s">
        <v>133</v>
      </c>
      <c r="J43" s="12" t="str">
        <f>HYPERLINK("https://www.boe.es/gazeta/dias/1804/06/29/pdfs/GMD-1804-52.pdf#page=8","Abrir facsímil")</f>
        <v>Abrir facsímil</v>
      </c>
      <c r="K43" s="15" t="s">
        <v>22</v>
      </c>
    </row>
    <row r="44" spans="1:11" ht="42" customHeight="1">
      <c r="A44" s="4" t="s">
        <v>134</v>
      </c>
      <c r="B44" s="5" t="s">
        <v>135</v>
      </c>
      <c r="C44" s="5" t="s">
        <v>85</v>
      </c>
      <c r="D44" s="5" t="s">
        <v>86</v>
      </c>
      <c r="E44" s="5" t="s">
        <v>136</v>
      </c>
      <c r="F44" s="9">
        <v>23</v>
      </c>
      <c r="G44" s="9">
        <v>266</v>
      </c>
      <c r="H44" s="5" t="s">
        <v>20</v>
      </c>
      <c r="I44" s="5" t="s">
        <v>137</v>
      </c>
      <c r="J44" s="12" t="str">
        <f>HYPERLINK("https://www.boe.es/gazeta/dias/1804/03/20/pdfs/GMD-1804-23.pdf#page=12","Abrir facsímil")</f>
        <v>Abrir facsímil</v>
      </c>
      <c r="K44" s="15" t="s">
        <v>22</v>
      </c>
    </row>
    <row r="45" spans="1:11" ht="42" customHeight="1">
      <c r="A45" s="4" t="s">
        <v>138</v>
      </c>
      <c r="B45" s="5" t="s">
        <v>139</v>
      </c>
      <c r="C45" s="5" t="s">
        <v>65</v>
      </c>
      <c r="D45" s="5" t="s">
        <v>66</v>
      </c>
      <c r="E45" s="5" t="s">
        <v>140</v>
      </c>
      <c r="F45" s="9">
        <v>39</v>
      </c>
      <c r="G45" s="9">
        <v>435</v>
      </c>
      <c r="H45" s="5" t="s">
        <v>20</v>
      </c>
      <c r="I45" s="5" t="s">
        <v>141</v>
      </c>
      <c r="J45" s="12" t="str">
        <f>HYPERLINK("https://www.boe.es/gazeta/dias/1804/05/15/pdfs/GMD-1804-39.pdf#page=9","Abrir facsímil")</f>
        <v>Abrir facsímil</v>
      </c>
      <c r="K45" s="15" t="s">
        <v>22</v>
      </c>
    </row>
    <row r="46" spans="1:11" ht="42" customHeight="1">
      <c r="A46" s="4" t="s">
        <v>142</v>
      </c>
      <c r="B46" s="5" t="s">
        <v>142</v>
      </c>
      <c r="C46" s="5" t="s">
        <v>27</v>
      </c>
      <c r="D46" s="5" t="s">
        <v>28</v>
      </c>
      <c r="E46" s="5" t="s">
        <v>143</v>
      </c>
      <c r="F46" s="9">
        <v>87</v>
      </c>
      <c r="G46" s="9">
        <v>963</v>
      </c>
      <c r="H46" s="5" t="s">
        <v>20</v>
      </c>
      <c r="I46" s="5" t="s">
        <v>144</v>
      </c>
      <c r="J46" s="12" t="str">
        <f>HYPERLINK("https://www.boe.es/gazeta/dias/1804/10/30/pdfs/GMD-1804-87.pdf#page=7","Abrir facsímil")</f>
        <v>Abrir facsímil</v>
      </c>
      <c r="K46" s="15" t="s">
        <v>22</v>
      </c>
    </row>
    <row r="47" spans="1:11" ht="42" customHeight="1">
      <c r="A47" s="4" t="s">
        <v>145</v>
      </c>
      <c r="B47" s="5" t="s">
        <v>146</v>
      </c>
      <c r="C47" s="5" t="s">
        <v>65</v>
      </c>
      <c r="D47" s="5" t="s">
        <v>66</v>
      </c>
      <c r="E47" s="5" t="s">
        <v>147</v>
      </c>
      <c r="F47" s="9">
        <v>77</v>
      </c>
      <c r="G47" s="9">
        <v>858</v>
      </c>
      <c r="H47" s="5" t="s">
        <v>20</v>
      </c>
      <c r="I47" s="5" t="s">
        <v>148</v>
      </c>
      <c r="J47" s="12" t="str">
        <f>HYPERLINK("https://www.boe.es/gazeta/dias/1804/09/25/pdfs/GMD-1804-77.pdf#page=8","Abrir facsímil")</f>
        <v>Abrir facsímil</v>
      </c>
      <c r="K47" s="15" t="s">
        <v>22</v>
      </c>
    </row>
    <row r="48" spans="1:11" ht="42" customHeight="1">
      <c r="A48" s="4" t="s">
        <v>149</v>
      </c>
      <c r="B48" s="5" t="s">
        <v>150</v>
      </c>
      <c r="C48" s="5" t="s">
        <v>85</v>
      </c>
      <c r="D48" s="5" t="s">
        <v>86</v>
      </c>
      <c r="E48" s="5" t="s">
        <v>151</v>
      </c>
      <c r="F48" s="9">
        <v>13</v>
      </c>
      <c r="G48" s="9">
        <v>143</v>
      </c>
      <c r="H48" s="5" t="s">
        <v>20</v>
      </c>
      <c r="I48" s="5" t="s">
        <v>152</v>
      </c>
      <c r="J48" s="12" t="str">
        <f>HYPERLINK("https://www.boe.es/gazeta/dias/1804/02/14/pdfs/GMD-1804-13.pdf#page=7","Abrir facsímil")</f>
        <v>Abrir facsímil</v>
      </c>
      <c r="K48" s="15" t="s">
        <v>22</v>
      </c>
    </row>
    <row r="49" spans="1:11" ht="42" customHeight="1">
      <c r="A49" s="4" t="s">
        <v>153</v>
      </c>
      <c r="B49" s="5" t="s">
        <v>154</v>
      </c>
      <c r="C49" s="5" t="s">
        <v>17</v>
      </c>
      <c r="D49" s="5" t="s">
        <v>18</v>
      </c>
      <c r="E49" s="5" t="s">
        <v>155</v>
      </c>
      <c r="F49" s="9">
        <v>92</v>
      </c>
      <c r="G49" s="9">
        <v>1021</v>
      </c>
      <c r="H49" s="5" t="s">
        <v>20</v>
      </c>
      <c r="I49" s="5" t="s">
        <v>156</v>
      </c>
      <c r="J49" s="12" t="str">
        <f>HYPERLINK("https://www.boe.es/gazeta/dias/1804/11/16/pdfs/GMD-1804-92.pdf#page=9","Abrir facsímil")</f>
        <v>Abrir facsímil</v>
      </c>
      <c r="K49" s="15" t="s">
        <v>22</v>
      </c>
    </row>
    <row r="50" spans="1:11" ht="42" customHeight="1">
      <c r="A50" s="4" t="s">
        <v>157</v>
      </c>
      <c r="B50" s="5" t="s">
        <v>158</v>
      </c>
      <c r="C50" s="5" t="s">
        <v>27</v>
      </c>
      <c r="D50" s="5" t="s">
        <v>28</v>
      </c>
      <c r="E50" s="5" t="s">
        <v>159</v>
      </c>
      <c r="F50" s="9">
        <v>15</v>
      </c>
      <c r="G50" s="9">
        <v>163</v>
      </c>
      <c r="H50" s="5" t="s">
        <v>20</v>
      </c>
      <c r="I50" s="5" t="s">
        <v>160</v>
      </c>
      <c r="J50" s="12" t="str">
        <f>HYPERLINK("https://www.boe.es/gazeta/dias/1804/02/21/pdfs/GMD-1804-15.pdf#page=7","Abrir facsímil")</f>
        <v>Abrir facsímil</v>
      </c>
      <c r="K50" s="15" t="s">
        <v>22</v>
      </c>
    </row>
    <row r="51" spans="1:11" ht="42" customHeight="1">
      <c r="A51" s="4" t="s">
        <v>161</v>
      </c>
      <c r="B51" s="5" t="s">
        <v>162</v>
      </c>
      <c r="C51" s="5" t="s">
        <v>17</v>
      </c>
      <c r="D51" s="5" t="s">
        <v>18</v>
      </c>
      <c r="E51" s="5" t="s">
        <v>163</v>
      </c>
      <c r="F51" s="9">
        <v>70</v>
      </c>
      <c r="G51" s="9">
        <v>783</v>
      </c>
      <c r="H51" s="5" t="s">
        <v>20</v>
      </c>
      <c r="I51" s="5" t="s">
        <v>164</v>
      </c>
      <c r="J51" s="12" t="str">
        <f>HYPERLINK("https://www.boe.es/gazeta/dias/1804/08/31/pdfs/GMD-1804-70.pdf#page=5","Abrir facsímil")</f>
        <v>Abrir facsímil</v>
      </c>
      <c r="K51" s="15" t="s">
        <v>22</v>
      </c>
    </row>
    <row r="52" spans="1:11" ht="42" customHeight="1">
      <c r="A52" s="4" t="s">
        <v>165</v>
      </c>
      <c r="B52" s="5" t="s">
        <v>166</v>
      </c>
      <c r="C52" s="5" t="s">
        <v>120</v>
      </c>
      <c r="D52" s="5" t="s">
        <v>121</v>
      </c>
      <c r="E52" s="5" t="s">
        <v>33</v>
      </c>
      <c r="F52" s="9">
        <v>48</v>
      </c>
      <c r="G52" s="9" t="s">
        <v>122</v>
      </c>
      <c r="H52" s="5" t="s">
        <v>20</v>
      </c>
      <c r="I52" s="5" t="s">
        <v>167</v>
      </c>
      <c r="J52" s="12" t="str">
        <f>HYPERLINK("https://www.boe.es/gazeta/dias/1804/06/15/pdfs/GMD-C-1804-48.pdf#page=3","Abrir facsímil")</f>
        <v>Abrir facsímil</v>
      </c>
      <c r="K52" s="15" t="s">
        <v>22</v>
      </c>
    </row>
    <row r="53" spans="1:11" ht="42" customHeight="1">
      <c r="A53" s="4" t="s">
        <v>168</v>
      </c>
      <c r="B53" s="5" t="s">
        <v>169</v>
      </c>
      <c r="C53" s="5" t="s">
        <v>17</v>
      </c>
      <c r="D53" s="5" t="s">
        <v>18</v>
      </c>
      <c r="E53" s="5" t="s">
        <v>37</v>
      </c>
      <c r="F53" s="9">
        <v>29</v>
      </c>
      <c r="G53" s="9">
        <v>318</v>
      </c>
      <c r="H53" s="5" t="s">
        <v>20</v>
      </c>
      <c r="I53" s="5" t="s">
        <v>170</v>
      </c>
      <c r="J53" s="12" t="str">
        <f>HYPERLINK("https://www.boe.es/gazeta/dias/1804/04/10/pdfs/GMD-1804-29.pdf#page=8","Abrir facsímil")</f>
        <v>Abrir facsímil</v>
      </c>
      <c r="K53" s="15" t="s">
        <v>22</v>
      </c>
    </row>
    <row r="54" spans="1:11" ht="42" customHeight="1">
      <c r="A54" s="4" t="s">
        <v>171</v>
      </c>
      <c r="B54" s="5" t="s">
        <v>171</v>
      </c>
      <c r="C54" s="5" t="s">
        <v>57</v>
      </c>
      <c r="D54" s="5" t="s">
        <v>58</v>
      </c>
      <c r="E54" s="5" t="s">
        <v>172</v>
      </c>
      <c r="F54" s="9">
        <v>38</v>
      </c>
      <c r="G54" s="9">
        <v>421</v>
      </c>
      <c r="H54" s="5" t="s">
        <v>20</v>
      </c>
      <c r="I54" s="5" t="s">
        <v>173</v>
      </c>
      <c r="J54" s="12" t="str">
        <f>HYPERLINK("https://www.boe.es/gazeta/dias/1804/05/11/pdfs/GMD-1804-38.pdf#page=7","Abrir facsímil")</f>
        <v>Abrir facsímil</v>
      </c>
      <c r="K54" s="15" t="s">
        <v>22</v>
      </c>
    </row>
    <row r="55" spans="1:11" ht="42" customHeight="1">
      <c r="A55" s="4" t="s">
        <v>174</v>
      </c>
      <c r="B55" s="5" t="s">
        <v>174</v>
      </c>
      <c r="C55" s="5" t="s">
        <v>65</v>
      </c>
      <c r="D55" s="5" t="s">
        <v>66</v>
      </c>
      <c r="E55" s="5" t="s">
        <v>175</v>
      </c>
      <c r="F55" s="9">
        <v>58</v>
      </c>
      <c r="G55" s="9">
        <v>638</v>
      </c>
      <c r="H55" s="5" t="s">
        <v>20</v>
      </c>
      <c r="I55" s="5" t="s">
        <v>176</v>
      </c>
      <c r="J55" s="12" t="str">
        <f>HYPERLINK("https://www.boe.es/gazeta/dias/1804/07/20/pdfs/GMD-1804-58.pdf#page=4","Abrir facsímil")</f>
        <v>Abrir facsímil</v>
      </c>
      <c r="K55" s="15" t="s">
        <v>22</v>
      </c>
    </row>
    <row r="56" spans="1:11" ht="42" customHeight="1">
      <c r="A56" s="4" t="s">
        <v>177</v>
      </c>
      <c r="B56" s="5" t="s">
        <v>177</v>
      </c>
      <c r="C56" s="5" t="s">
        <v>27</v>
      </c>
      <c r="D56" s="5" t="s">
        <v>28</v>
      </c>
      <c r="E56" s="5" t="s">
        <v>178</v>
      </c>
      <c r="F56" s="9">
        <v>20</v>
      </c>
      <c r="G56" s="9">
        <v>220</v>
      </c>
      <c r="H56" s="5" t="s">
        <v>20</v>
      </c>
      <c r="I56" s="5" t="s">
        <v>179</v>
      </c>
      <c r="J56" s="12" t="str">
        <f>HYPERLINK("https://www.boe.es/gazeta/dias/1804/03/09/pdfs/GMD-1804-20.pdf#page=8","Abrir facsímil")</f>
        <v>Abrir facsímil</v>
      </c>
      <c r="K56" s="15" t="s">
        <v>22</v>
      </c>
    </row>
    <row r="57" spans="1:11" ht="42" customHeight="1">
      <c r="A57" s="4" t="s">
        <v>180</v>
      </c>
      <c r="B57" s="5" t="s">
        <v>181</v>
      </c>
      <c r="C57" s="5" t="s">
        <v>27</v>
      </c>
      <c r="D57" s="5" t="s">
        <v>28</v>
      </c>
      <c r="E57" s="5" t="s">
        <v>182</v>
      </c>
      <c r="F57" s="9">
        <v>21</v>
      </c>
      <c r="G57" s="9">
        <v>234</v>
      </c>
      <c r="H57" s="5" t="s">
        <v>20</v>
      </c>
      <c r="I57" s="5" t="s">
        <v>183</v>
      </c>
      <c r="J57" s="12" t="str">
        <f>HYPERLINK("https://www.boe.es/gazeta/dias/1804/03/13/pdfs/GMD-1804-21.pdf#page=10","Abrir facsímil")</f>
        <v>Abrir facsímil</v>
      </c>
      <c r="K57" s="15" t="s">
        <v>22</v>
      </c>
    </row>
    <row r="58" spans="1:11" ht="42" customHeight="1">
      <c r="A58" s="4" t="s">
        <v>184</v>
      </c>
      <c r="B58" s="5" t="s">
        <v>184</v>
      </c>
      <c r="C58" s="5" t="s">
        <v>65</v>
      </c>
      <c r="D58" s="5" t="s">
        <v>66</v>
      </c>
      <c r="E58" s="5" t="s">
        <v>33</v>
      </c>
      <c r="F58" s="9">
        <v>48</v>
      </c>
      <c r="G58" s="9">
        <v>536</v>
      </c>
      <c r="H58" s="5" t="s">
        <v>20</v>
      </c>
      <c r="I58" s="5" t="s">
        <v>185</v>
      </c>
      <c r="J58" s="12" t="str">
        <f>HYPERLINK("https://www.boe.es/gazeta/dias/1804/06/15/pdfs/GMD-1804-48.pdf#page=6","Abrir facsímil")</f>
        <v>Abrir facsímil</v>
      </c>
      <c r="K58" s="15" t="s">
        <v>22</v>
      </c>
    </row>
    <row r="59" spans="1:11" ht="42" customHeight="1">
      <c r="A59" s="4" t="s">
        <v>186</v>
      </c>
      <c r="B59" s="5" t="s">
        <v>187</v>
      </c>
      <c r="C59" s="5" t="s">
        <v>17</v>
      </c>
      <c r="D59" s="5" t="s">
        <v>18</v>
      </c>
      <c r="E59" s="5" t="s">
        <v>37</v>
      </c>
      <c r="F59" s="9">
        <v>29</v>
      </c>
      <c r="G59" s="9">
        <v>319</v>
      </c>
      <c r="H59" s="5" t="s">
        <v>20</v>
      </c>
      <c r="I59" s="5" t="s">
        <v>188</v>
      </c>
      <c r="J59" s="12" t="str">
        <f>HYPERLINK("https://www.boe.es/gazeta/dias/1804/04/10/pdfs/GMD-1804-29.pdf#page=9","Abrir facsímil")</f>
        <v>Abrir facsímil</v>
      </c>
      <c r="K59" s="15" t="s">
        <v>22</v>
      </c>
    </row>
    <row r="60" spans="1:11" ht="42" customHeight="1">
      <c r="A60" s="4" t="s">
        <v>189</v>
      </c>
      <c r="B60" s="5" t="s">
        <v>190</v>
      </c>
      <c r="C60" s="5" t="s">
        <v>27</v>
      </c>
      <c r="D60" s="5" t="s">
        <v>28</v>
      </c>
      <c r="E60" s="5" t="s">
        <v>191</v>
      </c>
      <c r="F60" s="9">
        <v>101</v>
      </c>
      <c r="G60" s="9">
        <v>1129</v>
      </c>
      <c r="H60" s="5" t="s">
        <v>20</v>
      </c>
      <c r="I60" s="5" t="s">
        <v>192</v>
      </c>
      <c r="J60" s="12" t="str">
        <f>HYPERLINK("https://www.boe.es/gazeta/dias/1804/12/18/pdfs/GMD-1804-101.pdf#page=9","Abrir facsímil")</f>
        <v>Abrir facsímil</v>
      </c>
      <c r="K60" s="15" t="s">
        <v>22</v>
      </c>
    </row>
    <row r="61" spans="1:11" ht="42" customHeight="1">
      <c r="A61" s="4" t="s">
        <v>193</v>
      </c>
      <c r="B61" s="5" t="s">
        <v>194</v>
      </c>
      <c r="C61" s="5" t="s">
        <v>17</v>
      </c>
      <c r="D61" s="5" t="s">
        <v>18</v>
      </c>
      <c r="E61" s="5" t="s">
        <v>54</v>
      </c>
      <c r="F61" s="9">
        <v>63</v>
      </c>
      <c r="G61" s="9">
        <v>699</v>
      </c>
      <c r="H61" s="5" t="s">
        <v>20</v>
      </c>
      <c r="I61" s="5" t="s">
        <v>195</v>
      </c>
      <c r="J61" s="12" t="str">
        <f>HYPERLINK("https://www.boe.es/gazeta/dias/1804/08/07/pdfs/GMD-1804-63.pdf#page=9","Abrir facsímil")</f>
        <v>Abrir facsímil</v>
      </c>
      <c r="K61" s="15" t="s">
        <v>22</v>
      </c>
    </row>
    <row r="62" spans="1:11" ht="42" customHeight="1">
      <c r="A62" s="4" t="s">
        <v>196</v>
      </c>
      <c r="B62" s="5" t="s">
        <v>197</v>
      </c>
      <c r="C62" s="5" t="s">
        <v>198</v>
      </c>
      <c r="D62" s="5" t="s">
        <v>66</v>
      </c>
      <c r="E62" s="5" t="s">
        <v>199</v>
      </c>
      <c r="F62" s="9">
        <v>46</v>
      </c>
      <c r="G62" s="9">
        <v>513</v>
      </c>
      <c r="H62" s="5" t="s">
        <v>20</v>
      </c>
      <c r="I62" s="5" t="s">
        <v>200</v>
      </c>
      <c r="J62" s="12" t="str">
        <f>HYPERLINK("https://www.boe.es/gazeta/dias/1804/06/08/pdfs/GMD-1804-46.pdf#page=11","Abrir facsímil")</f>
        <v>Abrir facsímil</v>
      </c>
      <c r="K62" s="15" t="s">
        <v>22</v>
      </c>
    </row>
    <row r="63" spans="1:11" ht="42" customHeight="1">
      <c r="A63" s="4" t="s">
        <v>201</v>
      </c>
      <c r="B63" s="5" t="s">
        <v>202</v>
      </c>
      <c r="C63" s="5" t="s">
        <v>120</v>
      </c>
      <c r="D63" s="5" t="s">
        <v>121</v>
      </c>
      <c r="E63" s="5" t="s">
        <v>33</v>
      </c>
      <c r="F63" s="9">
        <v>48</v>
      </c>
      <c r="G63" s="9" t="s">
        <v>122</v>
      </c>
      <c r="H63" s="5" t="s">
        <v>20</v>
      </c>
      <c r="I63" s="5" t="s">
        <v>203</v>
      </c>
      <c r="J63" s="12" t="str">
        <f>HYPERLINK("https://www.boe.es/gazeta/dias/1804/06/15/pdfs/GMD-C-1804-48.pdf#page=3","Abrir facsímil")</f>
        <v>Abrir facsímil</v>
      </c>
      <c r="K63" s="15" t="s">
        <v>22</v>
      </c>
    </row>
    <row r="64" spans="1:11" ht="42" customHeight="1">
      <c r="A64" s="4" t="s">
        <v>204</v>
      </c>
      <c r="B64" s="5" t="s">
        <v>205</v>
      </c>
      <c r="C64" s="5" t="s">
        <v>198</v>
      </c>
      <c r="D64" s="5" t="s">
        <v>66</v>
      </c>
      <c r="E64" s="5" t="s">
        <v>206</v>
      </c>
      <c r="F64" s="9">
        <v>44</v>
      </c>
      <c r="G64" s="9">
        <v>489</v>
      </c>
      <c r="H64" s="5" t="s">
        <v>20</v>
      </c>
      <c r="I64" s="5" t="s">
        <v>207</v>
      </c>
      <c r="J64" s="12" t="str">
        <f>HYPERLINK("https://www.boe.es/gazeta/dias/1804/06/01/pdfs/GMD-1804-44.pdf#page=7","Abrir facsímil")</f>
        <v>Abrir facsímil</v>
      </c>
      <c r="K64" s="15" t="s">
        <v>22</v>
      </c>
    </row>
    <row r="65" spans="1:11" ht="42" customHeight="1">
      <c r="A65" s="4" t="s">
        <v>204</v>
      </c>
      <c r="B65" s="5" t="s">
        <v>205</v>
      </c>
      <c r="C65" s="5" t="s">
        <v>27</v>
      </c>
      <c r="D65" s="5" t="s">
        <v>28</v>
      </c>
      <c r="E65" s="5" t="s">
        <v>208</v>
      </c>
      <c r="F65" s="9">
        <v>97</v>
      </c>
      <c r="G65" s="9">
        <v>1082</v>
      </c>
      <c r="H65" s="5" t="s">
        <v>20</v>
      </c>
      <c r="I65" s="5" t="s">
        <v>209</v>
      </c>
      <c r="J65" s="12" t="str">
        <f>HYPERLINK("https://www.boe.es/gazeta/dias/1804/12/04/pdfs/GMD-1804-97.pdf#page=10","Abrir facsímil")</f>
        <v>Abrir facsímil</v>
      </c>
      <c r="K65" s="15" t="s">
        <v>22</v>
      </c>
    </row>
    <row r="66" spans="1:11" ht="42" customHeight="1">
      <c r="A66" s="4" t="s">
        <v>210</v>
      </c>
      <c r="B66" s="5" t="s">
        <v>211</v>
      </c>
      <c r="C66" s="5" t="s">
        <v>57</v>
      </c>
      <c r="D66" s="5" t="s">
        <v>58</v>
      </c>
      <c r="E66" s="5" t="s">
        <v>212</v>
      </c>
      <c r="F66" s="9">
        <v>89</v>
      </c>
      <c r="G66" s="9">
        <v>984</v>
      </c>
      <c r="H66" s="5" t="s">
        <v>20</v>
      </c>
      <c r="I66" s="5" t="s">
        <v>213</v>
      </c>
      <c r="J66" s="12" t="str">
        <f>HYPERLINK("https://www.boe.es/gazeta/dias/1804/11/06/pdfs/GMD-1804-89.pdf#page=4","Abrir facsímil")</f>
        <v>Abrir facsímil</v>
      </c>
      <c r="K66" s="15" t="s">
        <v>22</v>
      </c>
    </row>
    <row r="67" spans="1:11" ht="42" customHeight="1">
      <c r="A67" s="4" t="s">
        <v>214</v>
      </c>
      <c r="B67" s="5" t="s">
        <v>215</v>
      </c>
      <c r="C67" s="5" t="s">
        <v>17</v>
      </c>
      <c r="D67" s="5" t="s">
        <v>18</v>
      </c>
      <c r="E67" s="5" t="s">
        <v>216</v>
      </c>
      <c r="F67" s="9">
        <v>67</v>
      </c>
      <c r="G67" s="9">
        <v>748</v>
      </c>
      <c r="H67" s="5" t="s">
        <v>20</v>
      </c>
      <c r="I67" s="5" t="s">
        <v>217</v>
      </c>
      <c r="J67" s="12" t="str">
        <f>HYPERLINK("https://www.boe.es/gazeta/dias/1804/08/21/pdfs/GMD-1804-67.pdf#page=6","Abrir facsímil")</f>
        <v>Abrir facsímil</v>
      </c>
      <c r="K67" s="15" t="s">
        <v>22</v>
      </c>
    </row>
    <row r="68" spans="1:11" ht="42" customHeight="1">
      <c r="A68" s="4" t="s">
        <v>218</v>
      </c>
      <c r="B68" s="5" t="s">
        <v>218</v>
      </c>
      <c r="C68" s="5" t="s">
        <v>27</v>
      </c>
      <c r="D68" s="5" t="s">
        <v>28</v>
      </c>
      <c r="E68" s="5" t="s">
        <v>91</v>
      </c>
      <c r="F68" s="9">
        <v>72</v>
      </c>
      <c r="G68" s="9">
        <v>809</v>
      </c>
      <c r="H68" s="5" t="s">
        <v>20</v>
      </c>
      <c r="I68" s="5" t="s">
        <v>219</v>
      </c>
      <c r="J68" s="12" t="str">
        <f>HYPERLINK("https://www.boe.es/gazeta/dias/1804/09/07/pdfs/GMD-1804-72.pdf#page=11","Abrir facsímil")</f>
        <v>Abrir facsímil</v>
      </c>
      <c r="K68" s="15" t="s">
        <v>22</v>
      </c>
    </row>
    <row r="69" spans="1:11" ht="42" customHeight="1">
      <c r="A69" s="4" t="s">
        <v>220</v>
      </c>
      <c r="B69" s="5" t="s">
        <v>221</v>
      </c>
      <c r="C69" s="5" t="s">
        <v>57</v>
      </c>
      <c r="D69" s="5" t="s">
        <v>58</v>
      </c>
      <c r="E69" s="5" t="s">
        <v>222</v>
      </c>
      <c r="F69" s="9">
        <v>4</v>
      </c>
      <c r="G69" s="9">
        <v>32</v>
      </c>
      <c r="H69" s="5" t="s">
        <v>20</v>
      </c>
      <c r="I69" s="5" t="s">
        <v>223</v>
      </c>
      <c r="J69" s="12" t="str">
        <f>HYPERLINK("https://www.boe.es/gazeta/dias/1804/01/13/pdfs/GMD-1804-4.pdf#page=4","Abrir facsímil")</f>
        <v>Abrir facsímil</v>
      </c>
      <c r="K69" s="15" t="s">
        <v>22</v>
      </c>
    </row>
    <row r="70" spans="1:11" ht="42" customHeight="1">
      <c r="A70" s="4" t="s">
        <v>224</v>
      </c>
      <c r="B70" s="5" t="s">
        <v>225</v>
      </c>
      <c r="C70" s="5" t="s">
        <v>65</v>
      </c>
      <c r="D70" s="5" t="s">
        <v>66</v>
      </c>
      <c r="E70" s="5" t="s">
        <v>226</v>
      </c>
      <c r="F70" s="9">
        <v>17</v>
      </c>
      <c r="G70" s="9">
        <v>184</v>
      </c>
      <c r="H70" s="5" t="s">
        <v>20</v>
      </c>
      <c r="I70" s="5" t="s">
        <v>227</v>
      </c>
      <c r="J70" s="12" t="str">
        <f>HYPERLINK("https://www.boe.es/gazeta/dias/1804/02/28/pdfs/GMD-1804-17.pdf#page=4","Abrir facsímil")</f>
        <v>Abrir facsímil</v>
      </c>
      <c r="K70" s="15" t="s">
        <v>22</v>
      </c>
    </row>
    <row r="71" spans="1:11" ht="42" customHeight="1">
      <c r="A71" s="4" t="s">
        <v>228</v>
      </c>
      <c r="B71" s="5" t="s">
        <v>229</v>
      </c>
      <c r="C71" s="5" t="s">
        <v>65</v>
      </c>
      <c r="D71" s="5" t="s">
        <v>66</v>
      </c>
      <c r="E71" s="5" t="s">
        <v>230</v>
      </c>
      <c r="F71" s="9">
        <v>26</v>
      </c>
      <c r="G71" s="9">
        <v>291</v>
      </c>
      <c r="H71" s="5" t="s">
        <v>20</v>
      </c>
      <c r="I71" s="5" t="s">
        <v>231</v>
      </c>
      <c r="J71" s="12" t="str">
        <f>HYPERLINK("https://www.boe.es/gazeta/dias/1804/03/30/pdfs/GMD-1804-26.pdf#page=5","Abrir facsímil")</f>
        <v>Abrir facsímil</v>
      </c>
      <c r="K71" s="15" t="s">
        <v>22</v>
      </c>
    </row>
    <row r="72" spans="1:11" ht="42" customHeight="1">
      <c r="A72" s="4" t="s">
        <v>232</v>
      </c>
      <c r="B72" s="5" t="s">
        <v>233</v>
      </c>
      <c r="C72" s="5" t="s">
        <v>198</v>
      </c>
      <c r="D72" s="5" t="s">
        <v>66</v>
      </c>
      <c r="E72" s="5" t="s">
        <v>234</v>
      </c>
      <c r="F72" s="9">
        <v>86</v>
      </c>
      <c r="G72" s="9">
        <v>949</v>
      </c>
      <c r="H72" s="5" t="s">
        <v>20</v>
      </c>
      <c r="I72" s="5" t="s">
        <v>235</v>
      </c>
      <c r="J72" s="12" t="str">
        <f>HYPERLINK("https://www.boe.es/gazeta/dias/1804/10/26/pdfs/GMD-1804-86.pdf#page=7","Abrir facsímil")</f>
        <v>Abrir facsímil</v>
      </c>
      <c r="K72" s="15" t="s">
        <v>22</v>
      </c>
    </row>
    <row r="73" spans="1:11" ht="42" customHeight="1">
      <c r="A73" s="4" t="s">
        <v>236</v>
      </c>
      <c r="B73" s="5" t="s">
        <v>237</v>
      </c>
      <c r="C73" s="5" t="s">
        <v>198</v>
      </c>
      <c r="D73" s="5" t="s">
        <v>66</v>
      </c>
      <c r="E73" s="5" t="s">
        <v>234</v>
      </c>
      <c r="F73" s="9">
        <v>86</v>
      </c>
      <c r="G73" s="9">
        <v>949</v>
      </c>
      <c r="H73" s="5" t="s">
        <v>20</v>
      </c>
      <c r="I73" s="5" t="s">
        <v>238</v>
      </c>
      <c r="J73" s="12" t="str">
        <f>HYPERLINK("https://www.boe.es/gazeta/dias/1804/10/26/pdfs/GMD-1804-86.pdf#page=7","Abrir facsímil")</f>
        <v>Abrir facsímil</v>
      </c>
      <c r="K73" s="15" t="s">
        <v>22</v>
      </c>
    </row>
    <row r="74" spans="1:11" ht="42" customHeight="1">
      <c r="A74" s="4" t="s">
        <v>239</v>
      </c>
      <c r="B74" s="5" t="s">
        <v>240</v>
      </c>
      <c r="C74" s="5" t="s">
        <v>17</v>
      </c>
      <c r="D74" s="5" t="s">
        <v>18</v>
      </c>
      <c r="E74" s="5" t="s">
        <v>241</v>
      </c>
      <c r="F74" s="9">
        <v>71</v>
      </c>
      <c r="G74" s="9">
        <v>791</v>
      </c>
      <c r="H74" s="5" t="s">
        <v>20</v>
      </c>
      <c r="I74" s="5" t="s">
        <v>242</v>
      </c>
      <c r="J74" s="12" t="str">
        <f>HYPERLINK("https://www.boe.es/gazeta/dias/1804/09/04/pdfs/GMD-1804-71.pdf#page=5","Abrir facsímil")</f>
        <v>Abrir facsímil</v>
      </c>
      <c r="K74" s="15" t="s">
        <v>22</v>
      </c>
    </row>
    <row r="75" spans="1:11" ht="42" customHeight="1">
      <c r="A75" s="4" t="s">
        <v>243</v>
      </c>
      <c r="B75" s="5" t="s">
        <v>244</v>
      </c>
      <c r="C75" s="5" t="s">
        <v>27</v>
      </c>
      <c r="D75" s="5" t="s">
        <v>28</v>
      </c>
      <c r="E75" s="5" t="s">
        <v>245</v>
      </c>
      <c r="F75" s="9">
        <v>6</v>
      </c>
      <c r="G75" s="9">
        <v>58</v>
      </c>
      <c r="H75" s="5" t="s">
        <v>20</v>
      </c>
      <c r="I75" s="5" t="s">
        <v>246</v>
      </c>
      <c r="J75" s="12" t="str">
        <f>HYPERLINK("https://www.boe.es/gazeta/dias/1804/01/20/pdfs/GMD-1804-6.pdf#page=10","Abrir facsímil")</f>
        <v>Abrir facsímil</v>
      </c>
      <c r="K75" s="15" t="s">
        <v>22</v>
      </c>
    </row>
    <row r="76" spans="1:11" ht="42" customHeight="1">
      <c r="A76" s="4" t="s">
        <v>247</v>
      </c>
      <c r="B76" s="5" t="s">
        <v>248</v>
      </c>
      <c r="C76" s="5" t="s">
        <v>57</v>
      </c>
      <c r="D76" s="5" t="s">
        <v>58</v>
      </c>
      <c r="E76" s="5" t="s">
        <v>43</v>
      </c>
      <c r="F76" s="9">
        <v>84</v>
      </c>
      <c r="G76" s="9">
        <v>924</v>
      </c>
      <c r="H76" s="5" t="s">
        <v>20</v>
      </c>
      <c r="I76" s="5" t="s">
        <v>249</v>
      </c>
      <c r="J76" s="12" t="str">
        <f>HYPERLINK("https://www.boe.es/gazeta/dias/1804/10/19/pdfs/GMD-1804-84.pdf#page=2","Abrir facsímil")</f>
        <v>Abrir facsímil</v>
      </c>
      <c r="K76" s="15" t="s">
        <v>22</v>
      </c>
    </row>
    <row r="77" spans="1:11" ht="42" customHeight="1">
      <c r="A77" s="4" t="s">
        <v>250</v>
      </c>
      <c r="B77" s="5" t="s">
        <v>250</v>
      </c>
      <c r="C77" s="5" t="s">
        <v>27</v>
      </c>
      <c r="D77" s="5" t="s">
        <v>28</v>
      </c>
      <c r="E77" s="5" t="s">
        <v>251</v>
      </c>
      <c r="F77" s="9">
        <v>79</v>
      </c>
      <c r="G77" s="9">
        <v>874</v>
      </c>
      <c r="H77" s="5" t="s">
        <v>20</v>
      </c>
      <c r="I77" s="5" t="s">
        <v>252</v>
      </c>
      <c r="J77" s="12" t="str">
        <f>HYPERLINK("https://www.boe.es/gazeta/dias/1804/10/02/pdfs/GMD-1804-79.pdf#page=4","Abrir facsímil")</f>
        <v>Abrir facsímil</v>
      </c>
      <c r="K77" s="15" t="s">
        <v>22</v>
      </c>
    </row>
    <row r="78" spans="1:11" ht="42" customHeight="1">
      <c r="A78" s="4" t="s">
        <v>253</v>
      </c>
      <c r="B78" s="5" t="s">
        <v>254</v>
      </c>
      <c r="C78" s="5" t="s">
        <v>17</v>
      </c>
      <c r="D78" s="5" t="s">
        <v>18</v>
      </c>
      <c r="E78" s="5" t="s">
        <v>71</v>
      </c>
      <c r="F78" s="9">
        <v>99</v>
      </c>
      <c r="G78" s="9">
        <v>1107</v>
      </c>
      <c r="H78" s="5" t="s">
        <v>20</v>
      </c>
      <c r="I78" s="5" t="s">
        <v>255</v>
      </c>
      <c r="J78" s="12" t="str">
        <f>HYPERLINK("https://www.boe.es/gazeta/dias/1804/12/11/pdfs/GMD-1804-99.pdf#page=7","Abrir facsímil")</f>
        <v>Abrir facsímil</v>
      </c>
      <c r="K78" s="15" t="s">
        <v>22</v>
      </c>
    </row>
    <row r="79" spans="1:11" ht="42" customHeight="1">
      <c r="A79" s="4" t="s">
        <v>256</v>
      </c>
      <c r="B79" s="5" t="s">
        <v>257</v>
      </c>
      <c r="C79" s="5" t="s">
        <v>27</v>
      </c>
      <c r="D79" s="5" t="s">
        <v>28</v>
      </c>
      <c r="E79" s="5" t="s">
        <v>258</v>
      </c>
      <c r="F79" s="9">
        <v>14</v>
      </c>
      <c r="G79" s="9">
        <v>153</v>
      </c>
      <c r="H79" s="5" t="s">
        <v>20</v>
      </c>
      <c r="I79" s="5" t="s">
        <v>259</v>
      </c>
      <c r="J79" s="12" t="str">
        <f>HYPERLINK("https://www.boe.es/gazeta/dias/1804/02/17/pdfs/GMD-1804-14.pdf#page=9","Abrir facsímil")</f>
        <v>Abrir facsímil</v>
      </c>
      <c r="K79" s="15" t="s">
        <v>22</v>
      </c>
    </row>
    <row r="80" spans="1:11" ht="42" customHeight="1">
      <c r="A80" s="4" t="s">
        <v>260</v>
      </c>
      <c r="B80" s="5" t="s">
        <v>261</v>
      </c>
      <c r="C80" s="5" t="s">
        <v>262</v>
      </c>
      <c r="D80" s="5" t="s">
        <v>263</v>
      </c>
      <c r="E80" s="5" t="s">
        <v>264</v>
      </c>
      <c r="F80" s="9">
        <v>49</v>
      </c>
      <c r="G80" s="9" t="s">
        <v>265</v>
      </c>
      <c r="H80" s="5" t="s">
        <v>20</v>
      </c>
      <c r="I80" s="5" t="s">
        <v>266</v>
      </c>
      <c r="J80" s="12" t="str">
        <f>HYPERLINK("https://www.boe.es/gazeta/dias/1804/06/19/pdfs/GMD-C-1804-49.pdf#page=9","Abrir facsímil")</f>
        <v>Abrir facsímil</v>
      </c>
      <c r="K80" s="15" t="s">
        <v>22</v>
      </c>
    </row>
    <row r="81" spans="1:11" ht="42" customHeight="1">
      <c r="A81" s="4" t="s">
        <v>267</v>
      </c>
      <c r="B81" s="5" t="s">
        <v>268</v>
      </c>
      <c r="C81" s="5" t="s">
        <v>65</v>
      </c>
      <c r="D81" s="5" t="s">
        <v>66</v>
      </c>
      <c r="E81" s="5" t="s">
        <v>33</v>
      </c>
      <c r="F81" s="9">
        <v>48</v>
      </c>
      <c r="G81" s="9">
        <v>536</v>
      </c>
      <c r="H81" s="5" t="s">
        <v>20</v>
      </c>
      <c r="I81" s="5" t="s">
        <v>269</v>
      </c>
      <c r="J81" s="12" t="str">
        <f>HYPERLINK("https://www.boe.es/gazeta/dias/1804/06/15/pdfs/GMD-1804-48.pdf#page=6","Abrir facsímil")</f>
        <v>Abrir facsímil</v>
      </c>
      <c r="K81" s="15" t="s">
        <v>22</v>
      </c>
    </row>
    <row r="82" spans="1:11" ht="42" customHeight="1">
      <c r="A82" s="4" t="s">
        <v>270</v>
      </c>
      <c r="B82" s="5" t="s">
        <v>271</v>
      </c>
      <c r="C82" s="5" t="s">
        <v>27</v>
      </c>
      <c r="D82" s="5" t="s">
        <v>28</v>
      </c>
      <c r="E82" s="5" t="s">
        <v>272</v>
      </c>
      <c r="F82" s="9">
        <v>30</v>
      </c>
      <c r="G82" s="9">
        <v>332</v>
      </c>
      <c r="H82" s="5" t="s">
        <v>20</v>
      </c>
      <c r="I82" s="5" t="s">
        <v>273</v>
      </c>
      <c r="J82" s="12" t="str">
        <f>HYPERLINK("https://www.boe.es/gazeta/dias/1804/04/13/pdfs/GMD-1804-30.pdf#page=10","Abrir facsímil")</f>
        <v>Abrir facsímil</v>
      </c>
      <c r="K82" s="15" t="s">
        <v>22</v>
      </c>
    </row>
    <row r="83" spans="1:11" ht="42" customHeight="1">
      <c r="A83" s="4" t="s">
        <v>274</v>
      </c>
      <c r="B83" s="5" t="s">
        <v>275</v>
      </c>
      <c r="C83" s="5" t="s">
        <v>17</v>
      </c>
      <c r="D83" s="5" t="s">
        <v>18</v>
      </c>
      <c r="E83" s="5" t="s">
        <v>143</v>
      </c>
      <c r="F83" s="9">
        <v>87</v>
      </c>
      <c r="G83" s="9">
        <v>965</v>
      </c>
      <c r="H83" s="5" t="s">
        <v>20</v>
      </c>
      <c r="I83" s="5" t="s">
        <v>276</v>
      </c>
      <c r="J83" s="12" t="str">
        <f>HYPERLINK("https://www.boe.es/gazeta/dias/1804/10/30/pdfs/GMD-1804-87.pdf#page=9","Abrir facsímil")</f>
        <v>Abrir facsímil</v>
      </c>
      <c r="K83" s="15" t="s">
        <v>22</v>
      </c>
    </row>
    <row r="84" spans="1:11" ht="42" customHeight="1">
      <c r="A84" s="4" t="s">
        <v>277</v>
      </c>
      <c r="B84" s="5" t="s">
        <v>278</v>
      </c>
      <c r="C84" s="5" t="s">
        <v>17</v>
      </c>
      <c r="D84" s="5" t="s">
        <v>18</v>
      </c>
      <c r="E84" s="5" t="s">
        <v>143</v>
      </c>
      <c r="F84" s="9">
        <v>87</v>
      </c>
      <c r="G84" s="9">
        <v>965</v>
      </c>
      <c r="H84" s="5" t="s">
        <v>20</v>
      </c>
      <c r="I84" s="5" t="s">
        <v>279</v>
      </c>
      <c r="J84" s="12" t="str">
        <f>HYPERLINK("https://www.boe.es/gazeta/dias/1804/10/30/pdfs/GMD-1804-87.pdf#page=9","Abrir facsímil")</f>
        <v>Abrir facsímil</v>
      </c>
      <c r="K84" s="15" t="s">
        <v>22</v>
      </c>
    </row>
    <row r="85" spans="1:11" ht="42" customHeight="1">
      <c r="A85" s="4" t="s">
        <v>280</v>
      </c>
      <c r="B85" s="5" t="s">
        <v>281</v>
      </c>
      <c r="C85" s="5" t="s">
        <v>27</v>
      </c>
      <c r="D85" s="5" t="s">
        <v>28</v>
      </c>
      <c r="E85" s="5" t="s">
        <v>81</v>
      </c>
      <c r="F85" s="9">
        <v>98</v>
      </c>
      <c r="G85" s="9">
        <v>1089</v>
      </c>
      <c r="H85" s="5" t="s">
        <v>20</v>
      </c>
      <c r="I85" s="5" t="s">
        <v>282</v>
      </c>
      <c r="J85" s="12" t="str">
        <f>HYPERLINK("https://www.boe.es/gazeta/dias/1804/12/07/pdfs/GMD-1804-98.pdf#page=5","Abrir facsímil")</f>
        <v>Abrir facsímil</v>
      </c>
      <c r="K85" s="15" t="s">
        <v>22</v>
      </c>
    </row>
    <row r="86" spans="1:11" ht="42" customHeight="1">
      <c r="A86" s="4" t="s">
        <v>283</v>
      </c>
      <c r="B86" s="5" t="s">
        <v>284</v>
      </c>
      <c r="C86" s="5" t="s">
        <v>120</v>
      </c>
      <c r="D86" s="5" t="s">
        <v>121</v>
      </c>
      <c r="E86" s="5" t="s">
        <v>33</v>
      </c>
      <c r="F86" s="9">
        <v>48</v>
      </c>
      <c r="G86" s="9" t="s">
        <v>285</v>
      </c>
      <c r="H86" s="5" t="s">
        <v>20</v>
      </c>
      <c r="I86" s="5" t="s">
        <v>286</v>
      </c>
      <c r="J86" s="12" t="str">
        <f>HYPERLINK("https://www.boe.es/gazeta/dias/1804/06/15/pdfs/GMD-C-1804-48.pdf#page=2","Abrir facsímil")</f>
        <v>Abrir facsímil</v>
      </c>
      <c r="K86" s="15" t="s">
        <v>22</v>
      </c>
    </row>
    <row r="87" spans="1:11" ht="42" customHeight="1">
      <c r="A87" s="4" t="s">
        <v>287</v>
      </c>
      <c r="B87" s="5" t="s">
        <v>288</v>
      </c>
      <c r="C87" s="5" t="s">
        <v>85</v>
      </c>
      <c r="D87" s="5" t="s">
        <v>86</v>
      </c>
      <c r="E87" s="5" t="s">
        <v>19</v>
      </c>
      <c r="F87" s="9">
        <v>60</v>
      </c>
      <c r="G87" s="9">
        <v>670</v>
      </c>
      <c r="H87" s="5" t="s">
        <v>20</v>
      </c>
      <c r="I87" s="5" t="s">
        <v>289</v>
      </c>
      <c r="J87" s="12" t="str">
        <f>HYPERLINK("https://www.boe.es/gazeta/dias/1804/07/27/pdfs/GMD-1804-60.pdf#page=12","Abrir facsímil")</f>
        <v>Abrir facsímil</v>
      </c>
      <c r="K87" s="15" t="s">
        <v>22</v>
      </c>
    </row>
    <row r="88" spans="1:11" ht="42" customHeight="1">
      <c r="A88" s="4" t="s">
        <v>290</v>
      </c>
      <c r="B88" s="5" t="s">
        <v>291</v>
      </c>
      <c r="C88" s="5" t="s">
        <v>27</v>
      </c>
      <c r="D88" s="5" t="s">
        <v>28</v>
      </c>
      <c r="E88" s="5" t="s">
        <v>67</v>
      </c>
      <c r="F88" s="9">
        <v>59</v>
      </c>
      <c r="G88" s="9">
        <v>653</v>
      </c>
      <c r="H88" s="5" t="s">
        <v>20</v>
      </c>
      <c r="I88" s="5" t="s">
        <v>292</v>
      </c>
      <c r="J88" s="12" t="str">
        <f>HYPERLINK("https://www.boe.es/gazeta/dias/1804/07/24/pdfs/GMD-1804-59.pdf#page=7","Abrir facsímil")</f>
        <v>Abrir facsímil</v>
      </c>
      <c r="K88" s="15" t="s">
        <v>22</v>
      </c>
    </row>
    <row r="89" spans="1:11" ht="42" customHeight="1">
      <c r="A89" s="4" t="s">
        <v>290</v>
      </c>
      <c r="B89" s="5" t="s">
        <v>291</v>
      </c>
      <c r="C89" s="5" t="s">
        <v>27</v>
      </c>
      <c r="D89" s="5" t="s">
        <v>28</v>
      </c>
      <c r="E89" s="5" t="s">
        <v>216</v>
      </c>
      <c r="F89" s="9">
        <v>67</v>
      </c>
      <c r="G89" s="9">
        <v>751</v>
      </c>
      <c r="H89" s="5" t="s">
        <v>20</v>
      </c>
      <c r="I89" s="5" t="s">
        <v>293</v>
      </c>
      <c r="J89" s="12" t="str">
        <f>HYPERLINK("https://www.boe.es/gazeta/dias/1804/08/21/pdfs/GMD-1804-67.pdf#page=9","Abrir facsímil")</f>
        <v>Abrir facsímil</v>
      </c>
      <c r="K89" s="15" t="s">
        <v>22</v>
      </c>
    </row>
    <row r="90" spans="1:11" ht="42" customHeight="1">
      <c r="A90" s="4" t="s">
        <v>294</v>
      </c>
      <c r="B90" s="5" t="s">
        <v>295</v>
      </c>
      <c r="C90" s="5" t="s">
        <v>17</v>
      </c>
      <c r="D90" s="5" t="s">
        <v>18</v>
      </c>
      <c r="E90" s="5" t="s">
        <v>50</v>
      </c>
      <c r="F90" s="9">
        <v>93</v>
      </c>
      <c r="G90" s="9">
        <v>1030</v>
      </c>
      <c r="H90" s="5" t="s">
        <v>20</v>
      </c>
      <c r="I90" s="5" t="s">
        <v>296</v>
      </c>
      <c r="J90" s="12" t="str">
        <f>HYPERLINK("https://www.boe.es/gazeta/dias/1804/11/20/pdfs/GMD-1804-93.pdf#page=6","Abrir facsímil")</f>
        <v>Abrir facsímil</v>
      </c>
      <c r="K90" s="15" t="s">
        <v>22</v>
      </c>
    </row>
    <row r="91" spans="1:11" ht="42" customHeight="1">
      <c r="A91" s="4" t="s">
        <v>297</v>
      </c>
      <c r="B91" s="5" t="s">
        <v>297</v>
      </c>
      <c r="C91" s="5" t="s">
        <v>65</v>
      </c>
      <c r="D91" s="5" t="s">
        <v>66</v>
      </c>
      <c r="E91" s="5" t="s">
        <v>298</v>
      </c>
      <c r="F91" s="9">
        <v>10</v>
      </c>
      <c r="G91" s="9">
        <v>109</v>
      </c>
      <c r="H91" s="5" t="s">
        <v>20</v>
      </c>
      <c r="I91" s="5" t="s">
        <v>299</v>
      </c>
      <c r="J91" s="12" t="str">
        <f>HYPERLINK("https://www.boe.es/gazeta/dias/1804/02/03/pdfs/GMD-1804-10.pdf#page=9","Abrir facsímil")</f>
        <v>Abrir facsímil</v>
      </c>
      <c r="K91" s="15" t="s">
        <v>22</v>
      </c>
    </row>
    <row r="92" spans="1:11" ht="42" customHeight="1">
      <c r="A92" s="4" t="s">
        <v>300</v>
      </c>
      <c r="B92" s="5" t="s">
        <v>301</v>
      </c>
      <c r="C92" s="5" t="s">
        <v>65</v>
      </c>
      <c r="D92" s="5" t="s">
        <v>66</v>
      </c>
      <c r="E92" s="5" t="s">
        <v>302</v>
      </c>
      <c r="F92" s="9">
        <v>3</v>
      </c>
      <c r="G92" s="9">
        <v>27</v>
      </c>
      <c r="H92" s="5" t="s">
        <v>20</v>
      </c>
      <c r="I92" s="5" t="s">
        <v>303</v>
      </c>
      <c r="J92" s="12" t="str">
        <f>HYPERLINK("https://www.boe.es/gazeta/dias/1804/01/10/pdfs/GMD-1804-3.pdf#page=7","Abrir facsímil")</f>
        <v>Abrir facsímil</v>
      </c>
      <c r="K92" s="15" t="s">
        <v>22</v>
      </c>
    </row>
    <row r="93" spans="1:11" ht="42" customHeight="1">
      <c r="A93" s="4" t="s">
        <v>304</v>
      </c>
      <c r="B93" s="5" t="s">
        <v>304</v>
      </c>
      <c r="C93" s="5" t="s">
        <v>85</v>
      </c>
      <c r="D93" s="5" t="s">
        <v>86</v>
      </c>
      <c r="E93" s="5" t="s">
        <v>151</v>
      </c>
      <c r="F93" s="9">
        <v>13</v>
      </c>
      <c r="G93" s="9">
        <v>144</v>
      </c>
      <c r="H93" s="5" t="s">
        <v>20</v>
      </c>
      <c r="I93" s="5" t="s">
        <v>305</v>
      </c>
      <c r="J93" s="12" t="str">
        <f>HYPERLINK("https://www.boe.es/gazeta/dias/1804/02/14/pdfs/GMD-1804-13.pdf#page=8","Abrir facsímil")</f>
        <v>Abrir facsímil</v>
      </c>
      <c r="K93" s="15" t="s">
        <v>22</v>
      </c>
    </row>
    <row r="94" spans="1:11" ht="42" customHeight="1">
      <c r="A94" s="4" t="s">
        <v>304</v>
      </c>
      <c r="B94" s="5" t="s">
        <v>304</v>
      </c>
      <c r="C94" s="5" t="s">
        <v>27</v>
      </c>
      <c r="D94" s="5" t="s">
        <v>28</v>
      </c>
      <c r="E94" s="5" t="s">
        <v>132</v>
      </c>
      <c r="F94" s="9">
        <v>52</v>
      </c>
      <c r="G94" s="9">
        <v>573</v>
      </c>
      <c r="H94" s="5" t="s">
        <v>20</v>
      </c>
      <c r="I94" s="5" t="s">
        <v>306</v>
      </c>
      <c r="J94" s="12" t="str">
        <f>HYPERLINK("https://www.boe.es/gazeta/dias/1804/06/29/pdfs/GMD-1804-52.pdf#page=7","Abrir facsímil")</f>
        <v>Abrir facsímil</v>
      </c>
      <c r="K94" s="15" t="s">
        <v>22</v>
      </c>
    </row>
    <row r="95" spans="1:11" ht="42" customHeight="1">
      <c r="A95" s="4" t="s">
        <v>307</v>
      </c>
      <c r="B95" s="5" t="s">
        <v>307</v>
      </c>
      <c r="C95" s="5" t="s">
        <v>65</v>
      </c>
      <c r="D95" s="5" t="s">
        <v>66</v>
      </c>
      <c r="E95" s="5" t="s">
        <v>308</v>
      </c>
      <c r="F95" s="9">
        <v>96</v>
      </c>
      <c r="G95" s="9">
        <v>1066</v>
      </c>
      <c r="H95" s="5" t="s">
        <v>20</v>
      </c>
      <c r="I95" s="5" t="s">
        <v>309</v>
      </c>
      <c r="J95" s="12" t="str">
        <f>HYPERLINK("https://www.boe.es/gazeta/dias/1804/11/30/pdfs/GMD-1804-96.pdf#page=6","Abrir facsímil")</f>
        <v>Abrir facsímil</v>
      </c>
      <c r="K95" s="15" t="s">
        <v>22</v>
      </c>
    </row>
    <row r="96" spans="1:11" ht="42" customHeight="1">
      <c r="A96" s="4" t="s">
        <v>310</v>
      </c>
      <c r="B96" s="5" t="s">
        <v>310</v>
      </c>
      <c r="C96" s="5" t="s">
        <v>27</v>
      </c>
      <c r="D96" s="5" t="s">
        <v>28</v>
      </c>
      <c r="E96" s="5" t="s">
        <v>143</v>
      </c>
      <c r="F96" s="9">
        <v>87</v>
      </c>
      <c r="G96" s="9">
        <v>965</v>
      </c>
      <c r="H96" s="5" t="s">
        <v>20</v>
      </c>
      <c r="I96" s="5" t="s">
        <v>311</v>
      </c>
      <c r="J96" s="12" t="str">
        <f>HYPERLINK("https://www.boe.es/gazeta/dias/1804/10/30/pdfs/GMD-1804-87.pdf#page=9","Abrir facsímil")</f>
        <v>Abrir facsímil</v>
      </c>
      <c r="K96" s="15" t="s">
        <v>22</v>
      </c>
    </row>
    <row r="97" spans="1:11" ht="42" customHeight="1">
      <c r="A97" s="4" t="s">
        <v>312</v>
      </c>
      <c r="B97" s="5" t="s">
        <v>312</v>
      </c>
      <c r="C97" s="5" t="s">
        <v>27</v>
      </c>
      <c r="D97" s="5" t="s">
        <v>28</v>
      </c>
      <c r="E97" s="5" t="s">
        <v>222</v>
      </c>
      <c r="F97" s="9">
        <v>4</v>
      </c>
      <c r="G97" s="9">
        <v>39</v>
      </c>
      <c r="H97" s="5" t="s">
        <v>20</v>
      </c>
      <c r="I97" s="5" t="s">
        <v>313</v>
      </c>
      <c r="J97" s="12" t="str">
        <f>HYPERLINK("https://www.boe.es/gazeta/dias/1804/01/13/pdfs/GMD-1804-4.pdf#page=11","Abrir facsímil")</f>
        <v>Abrir facsímil</v>
      </c>
      <c r="K97" s="15" t="s">
        <v>22</v>
      </c>
    </row>
    <row r="98" spans="1:11" ht="42" customHeight="1">
      <c r="A98" s="4" t="s">
        <v>314</v>
      </c>
      <c r="B98" s="5" t="s">
        <v>314</v>
      </c>
      <c r="C98" s="5" t="s">
        <v>17</v>
      </c>
      <c r="D98" s="5" t="s">
        <v>18</v>
      </c>
      <c r="E98" s="5" t="s">
        <v>258</v>
      </c>
      <c r="F98" s="9">
        <v>14</v>
      </c>
      <c r="G98" s="9">
        <v>156</v>
      </c>
      <c r="H98" s="5" t="s">
        <v>20</v>
      </c>
      <c r="I98" s="5" t="s">
        <v>315</v>
      </c>
      <c r="J98" s="12" t="str">
        <f>HYPERLINK("https://www.boe.es/gazeta/dias/1804/02/17/pdfs/GMD-1804-14.pdf#page=12","Abrir facsímil")</f>
        <v>Abrir facsímil</v>
      </c>
      <c r="K98" s="15" t="s">
        <v>22</v>
      </c>
    </row>
    <row r="99" spans="1:11" ht="42" customHeight="1">
      <c r="A99" s="4" t="s">
        <v>316</v>
      </c>
      <c r="B99" s="5" t="s">
        <v>316</v>
      </c>
      <c r="C99" s="5" t="s">
        <v>198</v>
      </c>
      <c r="D99" s="5" t="s">
        <v>66</v>
      </c>
      <c r="E99" s="5" t="s">
        <v>317</v>
      </c>
      <c r="F99" s="9">
        <v>56</v>
      </c>
      <c r="G99" s="9">
        <v>622</v>
      </c>
      <c r="H99" s="5" t="s">
        <v>20</v>
      </c>
      <c r="I99" s="5" t="s">
        <v>318</v>
      </c>
      <c r="J99" s="12" t="str">
        <f>HYPERLINK("https://www.boe.es/gazeta/dias/1804/07/13/pdfs/GMD-1804-56.pdf#page=8","Abrir facsímil")</f>
        <v>Abrir facsímil</v>
      </c>
      <c r="K99" s="15" t="s">
        <v>22</v>
      </c>
    </row>
    <row r="100" spans="1:11" ht="42" customHeight="1">
      <c r="A100" s="4" t="s">
        <v>319</v>
      </c>
      <c r="B100" s="5" t="s">
        <v>319</v>
      </c>
      <c r="C100" s="5" t="s">
        <v>27</v>
      </c>
      <c r="D100" s="5" t="s">
        <v>28</v>
      </c>
      <c r="E100" s="5" t="s">
        <v>320</v>
      </c>
      <c r="F100" s="9">
        <v>31</v>
      </c>
      <c r="G100" s="9">
        <v>345</v>
      </c>
      <c r="H100" s="5" t="s">
        <v>20</v>
      </c>
      <c r="I100" s="5" t="s">
        <v>321</v>
      </c>
      <c r="J100" s="12" t="str">
        <f>HYPERLINK("https://www.boe.es/gazeta/dias/1804/04/17/pdfs/GMD-1804-31.pdf#page=11","Abrir facsímil")</f>
        <v>Abrir facsímil</v>
      </c>
      <c r="K100" s="15" t="s">
        <v>22</v>
      </c>
    </row>
    <row r="101" spans="1:11" ht="42" customHeight="1">
      <c r="A101" s="4" t="s">
        <v>319</v>
      </c>
      <c r="B101" s="5" t="s">
        <v>319</v>
      </c>
      <c r="C101" s="5" t="s">
        <v>85</v>
      </c>
      <c r="D101" s="5" t="s">
        <v>86</v>
      </c>
      <c r="E101" s="5" t="s">
        <v>206</v>
      </c>
      <c r="F101" s="9">
        <v>44</v>
      </c>
      <c r="G101" s="9">
        <v>490</v>
      </c>
      <c r="H101" s="5" t="s">
        <v>20</v>
      </c>
      <c r="I101" s="5" t="s">
        <v>322</v>
      </c>
      <c r="J101" s="12" t="str">
        <f>HYPERLINK("https://www.boe.es/gazeta/dias/1804/06/01/pdfs/GMD-1804-44.pdf#page=8","Abrir facsímil")</f>
        <v>Abrir facsímil</v>
      </c>
      <c r="K101" s="15" t="s">
        <v>22</v>
      </c>
    </row>
    <row r="102" spans="1:11" ht="42" customHeight="1">
      <c r="A102" s="4" t="s">
        <v>323</v>
      </c>
      <c r="B102" s="5" t="s">
        <v>323</v>
      </c>
      <c r="C102" s="5" t="s">
        <v>27</v>
      </c>
      <c r="D102" s="5" t="s">
        <v>28</v>
      </c>
      <c r="E102" s="5" t="s">
        <v>143</v>
      </c>
      <c r="F102" s="9">
        <v>87</v>
      </c>
      <c r="G102" s="9">
        <v>963</v>
      </c>
      <c r="H102" s="5" t="s">
        <v>20</v>
      </c>
      <c r="I102" s="5" t="s">
        <v>324</v>
      </c>
      <c r="J102" s="12" t="str">
        <f>HYPERLINK("https://www.boe.es/gazeta/dias/1804/10/30/pdfs/GMD-1804-87.pdf#page=7","Abrir facsímil")</f>
        <v>Abrir facsímil</v>
      </c>
      <c r="K102" s="15" t="s">
        <v>22</v>
      </c>
    </row>
    <row r="103" spans="1:11" ht="42" customHeight="1">
      <c r="A103" s="4" t="s">
        <v>325</v>
      </c>
      <c r="B103" s="5" t="s">
        <v>325</v>
      </c>
      <c r="C103" s="5" t="s">
        <v>65</v>
      </c>
      <c r="D103" s="5" t="s">
        <v>66</v>
      </c>
      <c r="E103" s="5" t="s">
        <v>326</v>
      </c>
      <c r="F103" s="9">
        <v>69</v>
      </c>
      <c r="G103" s="9">
        <v>775</v>
      </c>
      <c r="H103" s="5" t="s">
        <v>20</v>
      </c>
      <c r="I103" s="5" t="s">
        <v>327</v>
      </c>
      <c r="J103" s="12" t="str">
        <f>HYPERLINK("https://www.boe.es/gazeta/dias/1804/08/28/pdfs/GMD-1804-69.pdf#page=9","Abrir facsímil")</f>
        <v>Abrir facsímil</v>
      </c>
      <c r="K103" s="15" t="s">
        <v>22</v>
      </c>
    </row>
    <row r="104" spans="1:11" ht="42" customHeight="1">
      <c r="A104" s="4" t="s">
        <v>328</v>
      </c>
      <c r="B104" s="5" t="s">
        <v>328</v>
      </c>
      <c r="C104" s="5" t="s">
        <v>17</v>
      </c>
      <c r="D104" s="5" t="s">
        <v>18</v>
      </c>
      <c r="E104" s="5" t="s">
        <v>71</v>
      </c>
      <c r="F104" s="9">
        <v>99</v>
      </c>
      <c r="G104" s="9">
        <v>1105</v>
      </c>
      <c r="H104" s="5" t="s">
        <v>20</v>
      </c>
      <c r="I104" s="5" t="s">
        <v>329</v>
      </c>
      <c r="J104" s="12" t="str">
        <f>HYPERLINK("https://www.boe.es/gazeta/dias/1804/12/11/pdfs/GMD-1804-99.pdf#page=5","Abrir facsímil")</f>
        <v>Abrir facsímil</v>
      </c>
      <c r="K104" s="15" t="s">
        <v>22</v>
      </c>
    </row>
    <row r="105" spans="1:11" ht="42" customHeight="1">
      <c r="A105" s="4" t="s">
        <v>330</v>
      </c>
      <c r="B105" s="5" t="s">
        <v>331</v>
      </c>
      <c r="C105" s="5" t="s">
        <v>27</v>
      </c>
      <c r="D105" s="5" t="s">
        <v>28</v>
      </c>
      <c r="E105" s="5" t="s">
        <v>332</v>
      </c>
      <c r="F105" s="9">
        <v>66</v>
      </c>
      <c r="G105" s="9">
        <v>740</v>
      </c>
      <c r="H105" s="5" t="s">
        <v>20</v>
      </c>
      <c r="I105" s="5" t="s">
        <v>333</v>
      </c>
      <c r="J105" s="12" t="str">
        <f>HYPERLINK("https://www.boe.es/gazeta/dias/1804/08/17/pdfs/GMD-1804-66.pdf#page=6","Abrir facsímil")</f>
        <v>Abrir facsímil</v>
      </c>
      <c r="K105" s="15" t="s">
        <v>22</v>
      </c>
    </row>
    <row r="106" spans="1:11" ht="42" customHeight="1">
      <c r="A106" s="4" t="s">
        <v>334</v>
      </c>
      <c r="B106" s="5" t="s">
        <v>335</v>
      </c>
      <c r="C106" s="5" t="s">
        <v>27</v>
      </c>
      <c r="D106" s="5" t="s">
        <v>28</v>
      </c>
      <c r="E106" s="5" t="s">
        <v>136</v>
      </c>
      <c r="F106" s="9">
        <v>23</v>
      </c>
      <c r="G106" s="9">
        <v>261</v>
      </c>
      <c r="H106" s="5" t="s">
        <v>20</v>
      </c>
      <c r="I106" s="5" t="s">
        <v>336</v>
      </c>
      <c r="J106" s="12" t="str">
        <f>HYPERLINK("https://www.boe.es/gazeta/dias/1804/03/20/pdfs/GMD-1804-23.pdf#page=7","Abrir facsímil")</f>
        <v>Abrir facsímil</v>
      </c>
      <c r="K106" s="15" t="s">
        <v>22</v>
      </c>
    </row>
    <row r="107" spans="1:11" ht="42" customHeight="1">
      <c r="A107" s="4" t="s">
        <v>334</v>
      </c>
      <c r="B107" s="5" t="s">
        <v>335</v>
      </c>
      <c r="C107" s="5" t="s">
        <v>27</v>
      </c>
      <c r="D107" s="5" t="s">
        <v>28</v>
      </c>
      <c r="E107" s="5" t="s">
        <v>317</v>
      </c>
      <c r="F107" s="9">
        <v>56</v>
      </c>
      <c r="G107" s="9">
        <v>620</v>
      </c>
      <c r="H107" s="5" t="s">
        <v>20</v>
      </c>
      <c r="I107" s="5" t="s">
        <v>337</v>
      </c>
      <c r="J107" s="12" t="str">
        <f>HYPERLINK("https://www.boe.es/gazeta/dias/1804/07/13/pdfs/GMD-1804-56.pdf#page=6","Abrir facsímil")</f>
        <v>Abrir facsímil</v>
      </c>
      <c r="K107" s="15" t="s">
        <v>22</v>
      </c>
    </row>
    <row r="108" spans="1:11" ht="42" customHeight="1">
      <c r="A108" s="4" t="s">
        <v>338</v>
      </c>
      <c r="B108" s="5" t="s">
        <v>338</v>
      </c>
      <c r="C108" s="5" t="s">
        <v>85</v>
      </c>
      <c r="D108" s="5" t="s">
        <v>86</v>
      </c>
      <c r="E108" s="5" t="s">
        <v>339</v>
      </c>
      <c r="F108" s="9">
        <v>94</v>
      </c>
      <c r="G108" s="9">
        <v>1040</v>
      </c>
      <c r="H108" s="5" t="s">
        <v>20</v>
      </c>
      <c r="I108" s="5" t="s">
        <v>340</v>
      </c>
      <c r="J108" s="12" t="str">
        <f>HYPERLINK("https://www.boe.es/gazeta/dias/1804/11/23/pdfs/GMD-1804-94.pdf#page=8","Abrir facsímil")</f>
        <v>Abrir facsímil</v>
      </c>
      <c r="K108" s="15" t="s">
        <v>22</v>
      </c>
    </row>
    <row r="109" spans="1:11" ht="42" customHeight="1">
      <c r="A109" s="4" t="s">
        <v>341</v>
      </c>
      <c r="B109" s="5" t="s">
        <v>342</v>
      </c>
      <c r="C109" s="5" t="s">
        <v>17</v>
      </c>
      <c r="D109" s="5" t="s">
        <v>18</v>
      </c>
      <c r="E109" s="5" t="s">
        <v>71</v>
      </c>
      <c r="F109" s="9">
        <v>99</v>
      </c>
      <c r="G109" s="9">
        <v>1107</v>
      </c>
      <c r="H109" s="5" t="s">
        <v>20</v>
      </c>
      <c r="I109" s="5" t="s">
        <v>343</v>
      </c>
      <c r="J109" s="12" t="str">
        <f>HYPERLINK("https://www.boe.es/gazeta/dias/1804/12/11/pdfs/GMD-1804-99.pdf#page=7","Abrir facsímil")</f>
        <v>Abrir facsímil</v>
      </c>
      <c r="K109" s="15" t="s">
        <v>22</v>
      </c>
    </row>
    <row r="110" spans="1:11" ht="42" customHeight="1">
      <c r="A110" s="4" t="s">
        <v>344</v>
      </c>
      <c r="B110" s="5" t="s">
        <v>344</v>
      </c>
      <c r="C110" s="5" t="s">
        <v>262</v>
      </c>
      <c r="D110" s="5" t="s">
        <v>263</v>
      </c>
      <c r="E110" s="5" t="s">
        <v>140</v>
      </c>
      <c r="F110" s="9">
        <v>39</v>
      </c>
      <c r="G110" s="9" t="s">
        <v>122</v>
      </c>
      <c r="H110" s="5" t="s">
        <v>20</v>
      </c>
      <c r="I110" s="5" t="s">
        <v>345</v>
      </c>
      <c r="J110" s="12" t="str">
        <f>HYPERLINK("https://www.boe.es/gazeta/dias/1804/05/15/pdfs/GMD-C-1804-39.pdf#page=3","Abrir facsímil")</f>
        <v>Abrir facsímil</v>
      </c>
      <c r="K110" s="15" t="s">
        <v>22</v>
      </c>
    </row>
    <row r="111" spans="1:11" ht="42" customHeight="1">
      <c r="A111" s="4" t="s">
        <v>346</v>
      </c>
      <c r="B111" s="5" t="s">
        <v>347</v>
      </c>
      <c r="C111" s="5" t="s">
        <v>17</v>
      </c>
      <c r="D111" s="5" t="s">
        <v>18</v>
      </c>
      <c r="E111" s="5" t="s">
        <v>132</v>
      </c>
      <c r="F111" s="9">
        <v>52</v>
      </c>
      <c r="G111" s="9">
        <v>574</v>
      </c>
      <c r="H111" s="5" t="s">
        <v>20</v>
      </c>
      <c r="I111" s="5" t="s">
        <v>348</v>
      </c>
      <c r="J111" s="12" t="str">
        <f>HYPERLINK("https://www.boe.es/gazeta/dias/1804/06/29/pdfs/GMD-1804-52.pdf#page=8","Abrir facsímil")</f>
        <v>Abrir facsímil</v>
      </c>
      <c r="K111" s="15" t="s">
        <v>22</v>
      </c>
    </row>
    <row r="112" spans="1:11" ht="42" customHeight="1">
      <c r="A112" s="4" t="s">
        <v>349</v>
      </c>
      <c r="B112" s="5" t="s">
        <v>349</v>
      </c>
      <c r="C112" s="5" t="s">
        <v>17</v>
      </c>
      <c r="D112" s="5" t="s">
        <v>18</v>
      </c>
      <c r="E112" s="5" t="s">
        <v>350</v>
      </c>
      <c r="F112" s="9">
        <v>19</v>
      </c>
      <c r="G112" s="9">
        <v>211</v>
      </c>
      <c r="H112" s="5" t="s">
        <v>20</v>
      </c>
      <c r="I112" s="5" t="s">
        <v>351</v>
      </c>
      <c r="J112" s="12" t="str">
        <f>HYPERLINK("https://www.boe.es/gazeta/dias/1804/03/06/pdfs/GMD-1804-19.pdf#page=11","Abrir facsímil")</f>
        <v>Abrir facsímil</v>
      </c>
      <c r="K112" s="15" t="s">
        <v>22</v>
      </c>
    </row>
    <row r="113" spans="1:11" ht="42" customHeight="1">
      <c r="A113" s="4" t="s">
        <v>352</v>
      </c>
      <c r="B113" s="5" t="s">
        <v>353</v>
      </c>
      <c r="C113" s="5" t="s">
        <v>27</v>
      </c>
      <c r="D113" s="5" t="s">
        <v>28</v>
      </c>
      <c r="E113" s="5" t="s">
        <v>354</v>
      </c>
      <c r="F113" s="9">
        <v>1</v>
      </c>
      <c r="G113" s="9">
        <v>10</v>
      </c>
      <c r="H113" s="5" t="s">
        <v>20</v>
      </c>
      <c r="I113" s="5" t="s">
        <v>355</v>
      </c>
      <c r="J113" s="12" t="str">
        <f>HYPERLINK("https://www.boe.es/gazeta/dias/1804/01/03/pdfs/GMD-1804-1.pdf#page=10","Abrir facsímil")</f>
        <v>Abrir facsímil</v>
      </c>
      <c r="K113" s="15" t="s">
        <v>22</v>
      </c>
    </row>
    <row r="114" spans="1:11" ht="42" customHeight="1">
      <c r="A114" s="4" t="s">
        <v>356</v>
      </c>
      <c r="B114" s="5" t="s">
        <v>356</v>
      </c>
      <c r="C114" s="5" t="s">
        <v>27</v>
      </c>
      <c r="D114" s="5" t="s">
        <v>28</v>
      </c>
      <c r="E114" s="5" t="s">
        <v>234</v>
      </c>
      <c r="F114" s="9">
        <v>86</v>
      </c>
      <c r="G114" s="9">
        <v>948</v>
      </c>
      <c r="H114" s="5" t="s">
        <v>20</v>
      </c>
      <c r="I114" s="5" t="s">
        <v>357</v>
      </c>
      <c r="J114" s="12" t="str">
        <f>HYPERLINK("https://www.boe.es/gazeta/dias/1804/10/26/pdfs/GMD-1804-86.pdf#page=6","Abrir facsímil")</f>
        <v>Abrir facsímil</v>
      </c>
      <c r="K114" s="15" t="s">
        <v>22</v>
      </c>
    </row>
    <row r="115" spans="1:11" ht="42" customHeight="1">
      <c r="A115" s="4" t="s">
        <v>358</v>
      </c>
      <c r="B115" s="5" t="s">
        <v>359</v>
      </c>
      <c r="C115" s="5" t="s">
        <v>27</v>
      </c>
      <c r="D115" s="5" t="s">
        <v>28</v>
      </c>
      <c r="E115" s="5" t="s">
        <v>360</v>
      </c>
      <c r="F115" s="9">
        <v>81</v>
      </c>
      <c r="G115" s="9">
        <v>897</v>
      </c>
      <c r="H115" s="5" t="s">
        <v>20</v>
      </c>
      <c r="I115" s="5" t="s">
        <v>361</v>
      </c>
      <c r="J115" s="12" t="str">
        <f>HYPERLINK("https://www.boe.es/gazeta/dias/1804/10/09/pdfs/GMD-1804-81.pdf#page=7","Abrir facsímil")</f>
        <v>Abrir facsímil</v>
      </c>
      <c r="K115" s="15" t="s">
        <v>22</v>
      </c>
    </row>
    <row r="116" spans="1:11" ht="42" customHeight="1">
      <c r="A116" s="4" t="s">
        <v>362</v>
      </c>
      <c r="B116" s="5" t="s">
        <v>363</v>
      </c>
      <c r="C116" s="5" t="s">
        <v>27</v>
      </c>
      <c r="D116" s="5" t="s">
        <v>28</v>
      </c>
      <c r="E116" s="5" t="s">
        <v>136</v>
      </c>
      <c r="F116" s="9">
        <v>23</v>
      </c>
      <c r="G116" s="9">
        <v>261</v>
      </c>
      <c r="H116" s="5" t="s">
        <v>20</v>
      </c>
      <c r="I116" s="5" t="s">
        <v>364</v>
      </c>
      <c r="J116" s="12" t="str">
        <f>HYPERLINK("https://www.boe.es/gazeta/dias/1804/03/20/pdfs/GMD-1804-23.pdf#page=7","Abrir facsímil")</f>
        <v>Abrir facsímil</v>
      </c>
      <c r="K116" s="15" t="s">
        <v>22</v>
      </c>
    </row>
    <row r="117" spans="1:11" ht="42" customHeight="1">
      <c r="A117" s="4" t="s">
        <v>365</v>
      </c>
      <c r="B117" s="5" t="s">
        <v>366</v>
      </c>
      <c r="C117" s="5" t="s">
        <v>85</v>
      </c>
      <c r="D117" s="5" t="s">
        <v>86</v>
      </c>
      <c r="E117" s="5" t="s">
        <v>367</v>
      </c>
      <c r="F117" s="9">
        <v>64</v>
      </c>
      <c r="G117" s="9">
        <v>715</v>
      </c>
      <c r="H117" s="5" t="s">
        <v>20</v>
      </c>
      <c r="I117" s="5" t="s">
        <v>368</v>
      </c>
      <c r="J117" s="12" t="str">
        <f>HYPERLINK("https://www.boe.es/gazeta/dias/1804/08/10/pdfs/GMD-1804-64.pdf#page=9","Abrir facsímil")</f>
        <v>Abrir facsímil</v>
      </c>
      <c r="K117" s="15" t="s">
        <v>22</v>
      </c>
    </row>
    <row r="118" spans="1:11" ht="42" customHeight="1">
      <c r="A118" s="4" t="s">
        <v>365</v>
      </c>
      <c r="B118" s="5" t="s">
        <v>366</v>
      </c>
      <c r="C118" s="5" t="s">
        <v>17</v>
      </c>
      <c r="D118" s="5" t="s">
        <v>18</v>
      </c>
      <c r="E118" s="5" t="s">
        <v>367</v>
      </c>
      <c r="F118" s="9">
        <v>64</v>
      </c>
      <c r="G118" s="9">
        <v>716</v>
      </c>
      <c r="H118" s="5" t="s">
        <v>20</v>
      </c>
      <c r="I118" s="5" t="s">
        <v>369</v>
      </c>
      <c r="J118" s="12" t="str">
        <f>HYPERLINK("https://www.boe.es/gazeta/dias/1804/08/10/pdfs/GMD-1804-64.pdf#page=10","Abrir facsímil")</f>
        <v>Abrir facsímil</v>
      </c>
      <c r="K118" s="15" t="s">
        <v>22</v>
      </c>
    </row>
    <row r="119" spans="1:11" ht="42" customHeight="1">
      <c r="A119" s="4" t="s">
        <v>370</v>
      </c>
      <c r="B119" s="5" t="s">
        <v>371</v>
      </c>
      <c r="C119" s="5" t="s">
        <v>17</v>
      </c>
      <c r="D119" s="5" t="s">
        <v>18</v>
      </c>
      <c r="E119" s="5" t="s">
        <v>367</v>
      </c>
      <c r="F119" s="9">
        <v>64</v>
      </c>
      <c r="G119" s="9">
        <v>716</v>
      </c>
      <c r="H119" s="5" t="s">
        <v>20</v>
      </c>
      <c r="I119" s="5" t="s">
        <v>372</v>
      </c>
      <c r="J119" s="12" t="str">
        <f>HYPERLINK("https://www.boe.es/gazeta/dias/1804/08/10/pdfs/GMD-1804-64.pdf#page=10","Abrir facsímil")</f>
        <v>Abrir facsímil</v>
      </c>
      <c r="K119" s="15" t="s">
        <v>22</v>
      </c>
    </row>
    <row r="120" spans="1:11" ht="42" customHeight="1">
      <c r="A120" s="4" t="s">
        <v>373</v>
      </c>
      <c r="B120" s="5" t="s">
        <v>374</v>
      </c>
      <c r="C120" s="5" t="s">
        <v>65</v>
      </c>
      <c r="D120" s="5" t="s">
        <v>66</v>
      </c>
      <c r="E120" s="5" t="s">
        <v>251</v>
      </c>
      <c r="F120" s="9">
        <v>79</v>
      </c>
      <c r="G120" s="9">
        <v>878</v>
      </c>
      <c r="H120" s="5" t="s">
        <v>20</v>
      </c>
      <c r="I120" s="5" t="s">
        <v>375</v>
      </c>
      <c r="J120" s="12" t="str">
        <f>HYPERLINK("https://www.boe.es/gazeta/dias/1804/10/02/pdfs/GMD-1804-79.pdf#page=8","Abrir facsímil")</f>
        <v>Abrir facsímil</v>
      </c>
      <c r="K120" s="15" t="s">
        <v>22</v>
      </c>
    </row>
    <row r="121" spans="1:11" ht="42" customHeight="1">
      <c r="A121" s="4" t="s">
        <v>376</v>
      </c>
      <c r="B121" s="5" t="s">
        <v>377</v>
      </c>
      <c r="C121" s="5" t="s">
        <v>17</v>
      </c>
      <c r="D121" s="5" t="s">
        <v>18</v>
      </c>
      <c r="E121" s="5" t="s">
        <v>378</v>
      </c>
      <c r="F121" s="9">
        <v>65</v>
      </c>
      <c r="G121" s="9">
        <v>730</v>
      </c>
      <c r="H121" s="5" t="s">
        <v>20</v>
      </c>
      <c r="I121" s="5" t="s">
        <v>379</v>
      </c>
      <c r="J121" s="12" t="str">
        <f>HYPERLINK("https://www.boe.es/gazeta/dias/1804/08/14/pdfs/GMD-1804-65.pdf#page=8","Abrir facsímil")</f>
        <v>Abrir facsímil</v>
      </c>
      <c r="K121" s="15" t="s">
        <v>22</v>
      </c>
    </row>
    <row r="122" spans="1:11" ht="42" customHeight="1">
      <c r="A122" s="4" t="s">
        <v>380</v>
      </c>
      <c r="B122" s="5" t="s">
        <v>381</v>
      </c>
      <c r="C122" s="5" t="s">
        <v>85</v>
      </c>
      <c r="D122" s="5" t="s">
        <v>86</v>
      </c>
      <c r="E122" s="5" t="s">
        <v>175</v>
      </c>
      <c r="F122" s="9">
        <v>58</v>
      </c>
      <c r="G122" s="9">
        <v>646</v>
      </c>
      <c r="H122" s="5" t="s">
        <v>20</v>
      </c>
      <c r="I122" s="5" t="s">
        <v>382</v>
      </c>
      <c r="J122" s="12" t="str">
        <f>HYPERLINK("https://www.boe.es/gazeta/dias/1804/07/20/pdfs/GMD-1804-58.pdf#page=12","Abrir facsímil")</f>
        <v>Abrir facsímil</v>
      </c>
      <c r="K122" s="15" t="s">
        <v>22</v>
      </c>
    </row>
    <row r="123" spans="1:11" ht="42" customHeight="1">
      <c r="A123" s="4" t="s">
        <v>383</v>
      </c>
      <c r="B123" s="5" t="s">
        <v>384</v>
      </c>
      <c r="C123" s="5" t="s">
        <v>85</v>
      </c>
      <c r="D123" s="5" t="s">
        <v>86</v>
      </c>
      <c r="E123" s="5" t="s">
        <v>61</v>
      </c>
      <c r="F123" s="9">
        <v>61</v>
      </c>
      <c r="G123" s="9">
        <v>678</v>
      </c>
      <c r="H123" s="5" t="s">
        <v>20</v>
      </c>
      <c r="I123" s="5" t="s">
        <v>385</v>
      </c>
      <c r="J123" s="12" t="str">
        <f>HYPERLINK("https://www.boe.es/gazeta/dias/1804/07/31/pdfs/GMD-1804-61.pdf#page=8","Abrir facsímil")</f>
        <v>Abrir facsímil</v>
      </c>
      <c r="K123" s="15" t="s">
        <v>22</v>
      </c>
    </row>
    <row r="124" spans="1:11" ht="42" customHeight="1">
      <c r="A124" s="4" t="s">
        <v>386</v>
      </c>
      <c r="B124" s="5" t="s">
        <v>387</v>
      </c>
      <c r="C124" s="5" t="s">
        <v>27</v>
      </c>
      <c r="D124" s="5" t="s">
        <v>28</v>
      </c>
      <c r="E124" s="5" t="s">
        <v>388</v>
      </c>
      <c r="F124" s="9">
        <v>18</v>
      </c>
      <c r="G124" s="9">
        <v>198</v>
      </c>
      <c r="H124" s="5" t="s">
        <v>20</v>
      </c>
      <c r="I124" s="5" t="s">
        <v>389</v>
      </c>
      <c r="J124" s="12" t="str">
        <f>HYPERLINK("https://www.boe.es/gazeta/dias/1804/03/02/pdfs/GMD-1804-18.pdf#page=10","Abrir facsímil")</f>
        <v>Abrir facsímil</v>
      </c>
      <c r="K124" s="15" t="s">
        <v>22</v>
      </c>
    </row>
    <row r="125" spans="1:11" ht="42" customHeight="1">
      <c r="A125" s="4" t="s">
        <v>390</v>
      </c>
      <c r="B125" s="5" t="s">
        <v>391</v>
      </c>
      <c r="C125" s="5" t="s">
        <v>17</v>
      </c>
      <c r="D125" s="5" t="s">
        <v>18</v>
      </c>
      <c r="E125" s="5" t="s">
        <v>326</v>
      </c>
      <c r="F125" s="9">
        <v>69</v>
      </c>
      <c r="G125" s="9">
        <v>777</v>
      </c>
      <c r="H125" s="5" t="s">
        <v>20</v>
      </c>
      <c r="I125" s="5" t="s">
        <v>392</v>
      </c>
      <c r="J125" s="12" t="str">
        <f>HYPERLINK("https://www.boe.es/gazeta/dias/1804/08/28/pdfs/GMD-1804-69.pdf#page=11","Abrir facsímil")</f>
        <v>Abrir facsímil</v>
      </c>
      <c r="K125" s="15" t="s">
        <v>22</v>
      </c>
    </row>
    <row r="126" spans="1:11" ht="42" customHeight="1">
      <c r="A126" s="4" t="s">
        <v>393</v>
      </c>
      <c r="B126" s="5" t="s">
        <v>394</v>
      </c>
      <c r="C126" s="5" t="s">
        <v>262</v>
      </c>
      <c r="D126" s="5" t="s">
        <v>263</v>
      </c>
      <c r="E126" s="5" t="s">
        <v>71</v>
      </c>
      <c r="F126" s="9">
        <v>99</v>
      </c>
      <c r="G126" s="9" t="s">
        <v>98</v>
      </c>
      <c r="H126" s="5" t="s">
        <v>20</v>
      </c>
      <c r="I126" s="5" t="s">
        <v>395</v>
      </c>
      <c r="J126" s="12" t="str">
        <f>HYPERLINK("https://www.boe.es/gazeta/dias/1804/12/11/pdfs/GMD-C-1804-99.pdf#page=1","Abrir facsímil")</f>
        <v>Abrir facsímil</v>
      </c>
      <c r="K126" s="15" t="s">
        <v>22</v>
      </c>
    </row>
    <row r="127" spans="1:11" ht="42" customHeight="1">
      <c r="A127" s="4" t="s">
        <v>396</v>
      </c>
      <c r="B127" s="5" t="s">
        <v>397</v>
      </c>
      <c r="C127" s="5" t="s">
        <v>27</v>
      </c>
      <c r="D127" s="5" t="s">
        <v>28</v>
      </c>
      <c r="E127" s="5" t="s">
        <v>398</v>
      </c>
      <c r="F127" s="9">
        <v>22</v>
      </c>
      <c r="G127" s="9">
        <v>244</v>
      </c>
      <c r="H127" s="5" t="s">
        <v>20</v>
      </c>
      <c r="I127" s="5" t="s">
        <v>399</v>
      </c>
      <c r="J127" s="12" t="str">
        <f>HYPERLINK("https://www.boe.es/gazeta/dias/1804/03/16/pdfs/GMD-1804-22.pdf#page=8","Abrir facsímil")</f>
        <v>Abrir facsímil</v>
      </c>
      <c r="K127" s="15" t="s">
        <v>22</v>
      </c>
    </row>
    <row r="128" spans="1:11" ht="42" customHeight="1">
      <c r="A128" s="4" t="s">
        <v>400</v>
      </c>
      <c r="B128" s="5" t="s">
        <v>401</v>
      </c>
      <c r="C128" s="5" t="s">
        <v>27</v>
      </c>
      <c r="D128" s="5" t="s">
        <v>28</v>
      </c>
      <c r="E128" s="5" t="s">
        <v>109</v>
      </c>
      <c r="F128" s="9">
        <v>35</v>
      </c>
      <c r="G128" s="9">
        <v>386</v>
      </c>
      <c r="H128" s="5" t="s">
        <v>20</v>
      </c>
      <c r="I128" s="5" t="s">
        <v>402</v>
      </c>
      <c r="J128" s="12" t="str">
        <f>HYPERLINK("https://www.boe.es/gazeta/dias/1804/05/01/pdfs/GMD-1804-35.pdf#page=8","Abrir facsímil")</f>
        <v>Abrir facsímil</v>
      </c>
      <c r="K128" s="15" t="s">
        <v>22</v>
      </c>
    </row>
    <row r="129" spans="1:11" ht="42" customHeight="1">
      <c r="A129" s="4" t="s">
        <v>403</v>
      </c>
      <c r="B129" s="5" t="s">
        <v>404</v>
      </c>
      <c r="C129" s="5" t="s">
        <v>85</v>
      </c>
      <c r="D129" s="5" t="s">
        <v>86</v>
      </c>
      <c r="E129" s="5" t="s">
        <v>77</v>
      </c>
      <c r="F129" s="9">
        <v>32</v>
      </c>
      <c r="G129" s="9">
        <v>358</v>
      </c>
      <c r="H129" s="5" t="s">
        <v>20</v>
      </c>
      <c r="I129" s="5" t="s">
        <v>405</v>
      </c>
      <c r="J129" s="12" t="str">
        <f>HYPERLINK("https://www.boe.es/gazeta/dias/1804/04/20/pdfs/GMD-1804-32.pdf#page=12","Abrir facsímil")</f>
        <v>Abrir facsímil</v>
      </c>
      <c r="K129" s="15" t="s">
        <v>22</v>
      </c>
    </row>
    <row r="130" spans="1:11" ht="42" customHeight="1">
      <c r="A130" s="4" t="s">
        <v>406</v>
      </c>
      <c r="B130" s="5" t="s">
        <v>407</v>
      </c>
      <c r="C130" s="5" t="s">
        <v>27</v>
      </c>
      <c r="D130" s="5" t="s">
        <v>28</v>
      </c>
      <c r="E130" s="5" t="s">
        <v>367</v>
      </c>
      <c r="F130" s="9">
        <v>64</v>
      </c>
      <c r="G130" s="9">
        <v>713</v>
      </c>
      <c r="H130" s="5" t="s">
        <v>20</v>
      </c>
      <c r="I130" s="5" t="s">
        <v>408</v>
      </c>
      <c r="J130" s="12" t="str">
        <f>HYPERLINK("https://www.boe.es/gazeta/dias/1804/08/10/pdfs/GMD-1804-64.pdf#page=7","Abrir facsímil")</f>
        <v>Abrir facsímil</v>
      </c>
      <c r="K130" s="15" t="s">
        <v>22</v>
      </c>
    </row>
    <row r="131" spans="1:11" ht="42" customHeight="1">
      <c r="A131" s="4" t="s">
        <v>409</v>
      </c>
      <c r="B131" s="5" t="s">
        <v>410</v>
      </c>
      <c r="C131" s="5" t="s">
        <v>27</v>
      </c>
      <c r="D131" s="5" t="s">
        <v>28</v>
      </c>
      <c r="E131" s="5" t="s">
        <v>43</v>
      </c>
      <c r="F131" s="9">
        <v>84</v>
      </c>
      <c r="G131" s="9">
        <v>929</v>
      </c>
      <c r="H131" s="5" t="s">
        <v>20</v>
      </c>
      <c r="I131" s="5" t="s">
        <v>411</v>
      </c>
      <c r="J131" s="12" t="str">
        <f>HYPERLINK("https://www.boe.es/gazeta/dias/1804/10/19/pdfs/GMD-1804-84.pdf#page=7","Abrir facsímil")</f>
        <v>Abrir facsímil</v>
      </c>
      <c r="K131" s="15" t="s">
        <v>22</v>
      </c>
    </row>
    <row r="132" spans="1:11" ht="42" customHeight="1">
      <c r="A132" s="4" t="s">
        <v>412</v>
      </c>
      <c r="B132" s="5" t="s">
        <v>413</v>
      </c>
      <c r="C132" s="5" t="s">
        <v>27</v>
      </c>
      <c r="D132" s="5" t="s">
        <v>28</v>
      </c>
      <c r="E132" s="5" t="s">
        <v>106</v>
      </c>
      <c r="F132" s="9">
        <v>34</v>
      </c>
      <c r="G132" s="9">
        <v>375</v>
      </c>
      <c r="H132" s="5" t="s">
        <v>20</v>
      </c>
      <c r="I132" s="5" t="s">
        <v>414</v>
      </c>
      <c r="J132" s="12" t="str">
        <f>HYPERLINK("https://www.boe.es/gazeta/dias/1804/04/27/pdfs/GMD-1804-34.pdf#page=5","Abrir facsímil")</f>
        <v>Abrir facsímil</v>
      </c>
      <c r="K132" s="15" t="s">
        <v>22</v>
      </c>
    </row>
    <row r="133" spans="1:11" ht="42" customHeight="1">
      <c r="A133" s="4" t="s">
        <v>415</v>
      </c>
      <c r="B133" s="5" t="s">
        <v>416</v>
      </c>
      <c r="C133" s="5" t="s">
        <v>120</v>
      </c>
      <c r="D133" s="5" t="s">
        <v>121</v>
      </c>
      <c r="E133" s="5" t="s">
        <v>33</v>
      </c>
      <c r="F133" s="9">
        <v>48</v>
      </c>
      <c r="G133" s="9" t="s">
        <v>285</v>
      </c>
      <c r="H133" s="5" t="s">
        <v>20</v>
      </c>
      <c r="I133" s="5" t="s">
        <v>417</v>
      </c>
      <c r="J133" s="12" t="str">
        <f>HYPERLINK("https://www.boe.es/gazeta/dias/1804/06/15/pdfs/GMD-C-1804-48.pdf#page=2","Abrir facsímil")</f>
        <v>Abrir facsímil</v>
      </c>
      <c r="K133" s="15" t="s">
        <v>22</v>
      </c>
    </row>
    <row r="134" spans="1:11" ht="42" customHeight="1">
      <c r="A134" s="4" t="s">
        <v>418</v>
      </c>
      <c r="B134" s="5" t="s">
        <v>418</v>
      </c>
      <c r="C134" s="5" t="s">
        <v>27</v>
      </c>
      <c r="D134" s="5" t="s">
        <v>28</v>
      </c>
      <c r="E134" s="5" t="s">
        <v>326</v>
      </c>
      <c r="F134" s="9">
        <v>69</v>
      </c>
      <c r="G134" s="9">
        <v>776</v>
      </c>
      <c r="H134" s="5" t="s">
        <v>20</v>
      </c>
      <c r="I134" s="5" t="s">
        <v>419</v>
      </c>
      <c r="J134" s="12" t="str">
        <f>HYPERLINK("https://www.boe.es/gazeta/dias/1804/08/28/pdfs/GMD-1804-69.pdf#page=10","Abrir facsímil")</f>
        <v>Abrir facsímil</v>
      </c>
      <c r="K134" s="15" t="s">
        <v>22</v>
      </c>
    </row>
    <row r="135" spans="1:11" ht="42" customHeight="1">
      <c r="A135" s="4" t="s">
        <v>420</v>
      </c>
      <c r="B135" s="5" t="s">
        <v>420</v>
      </c>
      <c r="C135" s="5" t="s">
        <v>17</v>
      </c>
      <c r="D135" s="5" t="s">
        <v>18</v>
      </c>
      <c r="E135" s="5" t="s">
        <v>421</v>
      </c>
      <c r="F135" s="9">
        <v>47</v>
      </c>
      <c r="G135" s="9">
        <v>527</v>
      </c>
      <c r="H135" s="5" t="s">
        <v>20</v>
      </c>
      <c r="I135" s="5" t="s">
        <v>422</v>
      </c>
      <c r="J135" s="12" t="str">
        <f>HYPERLINK("https://www.boe.es/gazeta/dias/1804/06/12/pdfs/GMD-1804-47.pdf#page=9","Abrir facsímil")</f>
        <v>Abrir facsímil</v>
      </c>
      <c r="K135" s="15" t="s">
        <v>22</v>
      </c>
    </row>
    <row r="136" spans="1:11" ht="42" customHeight="1">
      <c r="A136" s="4" t="s">
        <v>423</v>
      </c>
      <c r="B136" s="5" t="s">
        <v>424</v>
      </c>
      <c r="C136" s="5" t="s">
        <v>17</v>
      </c>
      <c r="D136" s="5" t="s">
        <v>18</v>
      </c>
      <c r="E136" s="5" t="s">
        <v>71</v>
      </c>
      <c r="F136" s="9">
        <v>99</v>
      </c>
      <c r="G136" s="9">
        <v>1107</v>
      </c>
      <c r="H136" s="5" t="s">
        <v>20</v>
      </c>
      <c r="I136" s="5" t="s">
        <v>425</v>
      </c>
      <c r="J136" s="12" t="str">
        <f>HYPERLINK("https://www.boe.es/gazeta/dias/1804/12/11/pdfs/GMD-1804-99.pdf#page=7","Abrir facsímil")</f>
        <v>Abrir facsímil</v>
      </c>
      <c r="K136" s="15" t="s">
        <v>22</v>
      </c>
    </row>
    <row r="137" spans="1:11" ht="42" customHeight="1">
      <c r="A137" s="4" t="s">
        <v>426</v>
      </c>
      <c r="B137" s="5" t="s">
        <v>426</v>
      </c>
      <c r="C137" s="5" t="s">
        <v>17</v>
      </c>
      <c r="D137" s="5" t="s">
        <v>18</v>
      </c>
      <c r="E137" s="5" t="s">
        <v>427</v>
      </c>
      <c r="F137" s="9">
        <v>80</v>
      </c>
      <c r="G137" s="9">
        <v>890</v>
      </c>
      <c r="H137" s="5" t="s">
        <v>20</v>
      </c>
      <c r="I137" s="5" t="s">
        <v>428</v>
      </c>
      <c r="J137" s="12" t="str">
        <f>HYPERLINK("https://www.boe.es/gazeta/dias/1804/10/05/pdfs/GMD-1804-80.pdf#page=8","Abrir facsímil")</f>
        <v>Abrir facsímil</v>
      </c>
      <c r="K137" s="15" t="s">
        <v>22</v>
      </c>
    </row>
    <row r="138" spans="1:11" ht="42" customHeight="1">
      <c r="A138" s="4" t="s">
        <v>429</v>
      </c>
      <c r="B138" s="5" t="s">
        <v>429</v>
      </c>
      <c r="C138" s="5" t="s">
        <v>27</v>
      </c>
      <c r="D138" s="5" t="s">
        <v>28</v>
      </c>
      <c r="E138" s="5" t="s">
        <v>258</v>
      </c>
      <c r="F138" s="9">
        <v>14</v>
      </c>
      <c r="G138" s="9">
        <v>153</v>
      </c>
      <c r="H138" s="5" t="s">
        <v>20</v>
      </c>
      <c r="I138" s="5" t="s">
        <v>430</v>
      </c>
      <c r="J138" s="12" t="str">
        <f>HYPERLINK("https://www.boe.es/gazeta/dias/1804/02/17/pdfs/GMD-1804-14.pdf#page=9","Abrir facsímil")</f>
        <v>Abrir facsímil</v>
      </c>
      <c r="K138" s="15" t="s">
        <v>22</v>
      </c>
    </row>
    <row r="139" spans="1:11" ht="42" customHeight="1">
      <c r="A139" s="4" t="s">
        <v>431</v>
      </c>
      <c r="B139" s="5" t="s">
        <v>432</v>
      </c>
      <c r="C139" s="5" t="s">
        <v>27</v>
      </c>
      <c r="D139" s="5" t="s">
        <v>28</v>
      </c>
      <c r="E139" s="5" t="s">
        <v>132</v>
      </c>
      <c r="F139" s="9">
        <v>52</v>
      </c>
      <c r="G139" s="9">
        <v>573</v>
      </c>
      <c r="H139" s="5" t="s">
        <v>20</v>
      </c>
      <c r="I139" s="5" t="s">
        <v>433</v>
      </c>
      <c r="J139" s="12" t="str">
        <f>HYPERLINK("https://www.boe.es/gazeta/dias/1804/06/29/pdfs/GMD-1804-52.pdf#page=7","Abrir facsímil")</f>
        <v>Abrir facsímil</v>
      </c>
      <c r="K139" s="15" t="s">
        <v>22</v>
      </c>
    </row>
    <row r="140" spans="1:11" ht="42" customHeight="1">
      <c r="A140" s="4" t="s">
        <v>434</v>
      </c>
      <c r="B140" s="5" t="s">
        <v>435</v>
      </c>
      <c r="C140" s="5" t="s">
        <v>27</v>
      </c>
      <c r="D140" s="5" t="s">
        <v>28</v>
      </c>
      <c r="E140" s="5" t="s">
        <v>33</v>
      </c>
      <c r="F140" s="9">
        <v>48</v>
      </c>
      <c r="G140" s="9">
        <v>537</v>
      </c>
      <c r="H140" s="5" t="s">
        <v>20</v>
      </c>
      <c r="I140" s="5" t="s">
        <v>436</v>
      </c>
      <c r="J140" s="12" t="str">
        <f>HYPERLINK("https://www.boe.es/gazeta/dias/1804/06/15/pdfs/GMD-1804-48.pdf#page=7","Abrir facsímil")</f>
        <v>Abrir facsímil</v>
      </c>
      <c r="K140" s="15" t="s">
        <v>22</v>
      </c>
    </row>
    <row r="141" spans="1:11" ht="42" customHeight="1">
      <c r="A141" s="4" t="s">
        <v>437</v>
      </c>
      <c r="B141" s="5" t="s">
        <v>438</v>
      </c>
      <c r="C141" s="5" t="s">
        <v>17</v>
      </c>
      <c r="D141" s="5" t="s">
        <v>18</v>
      </c>
      <c r="E141" s="5" t="s">
        <v>71</v>
      </c>
      <c r="F141" s="9">
        <v>99</v>
      </c>
      <c r="G141" s="9">
        <v>1106</v>
      </c>
      <c r="H141" s="5" t="s">
        <v>20</v>
      </c>
      <c r="I141" s="5" t="s">
        <v>439</v>
      </c>
      <c r="J141" s="12" t="str">
        <f>HYPERLINK("https://www.boe.es/gazeta/dias/1804/12/11/pdfs/GMD-1804-99.pdf#page=6","Abrir facsímil")</f>
        <v>Abrir facsímil</v>
      </c>
      <c r="K141" s="15" t="s">
        <v>22</v>
      </c>
    </row>
    <row r="142" spans="1:11" ht="42" customHeight="1">
      <c r="A142" s="4" t="s">
        <v>440</v>
      </c>
      <c r="B142" s="5" t="s">
        <v>441</v>
      </c>
      <c r="C142" s="5" t="s">
        <v>27</v>
      </c>
      <c r="D142" s="5" t="s">
        <v>28</v>
      </c>
      <c r="E142" s="5" t="s">
        <v>81</v>
      </c>
      <c r="F142" s="9">
        <v>98</v>
      </c>
      <c r="G142" s="9">
        <v>1089</v>
      </c>
      <c r="H142" s="5" t="s">
        <v>20</v>
      </c>
      <c r="I142" s="5" t="s">
        <v>442</v>
      </c>
      <c r="J142" s="12" t="str">
        <f>HYPERLINK("https://www.boe.es/gazeta/dias/1804/12/07/pdfs/GMD-1804-98.pdf#page=5","Abrir facsímil")</f>
        <v>Abrir facsímil</v>
      </c>
      <c r="K142" s="15" t="s">
        <v>22</v>
      </c>
    </row>
    <row r="143" spans="1:11" ht="42" customHeight="1">
      <c r="A143" s="4" t="s">
        <v>443</v>
      </c>
      <c r="B143" s="5" t="s">
        <v>444</v>
      </c>
      <c r="C143" s="5" t="s">
        <v>57</v>
      </c>
      <c r="D143" s="5" t="s">
        <v>58</v>
      </c>
      <c r="E143" s="5" t="s">
        <v>226</v>
      </c>
      <c r="F143" s="9">
        <v>17</v>
      </c>
      <c r="G143" s="9">
        <v>181</v>
      </c>
      <c r="H143" s="5" t="s">
        <v>20</v>
      </c>
      <c r="I143" s="5" t="s">
        <v>445</v>
      </c>
      <c r="J143" s="12" t="str">
        <f>HYPERLINK("https://www.boe.es/gazeta/dias/1804/02/28/pdfs/GMD-1804-17.pdf#page=1","Abrir facsímil")</f>
        <v>Abrir facsímil</v>
      </c>
      <c r="K143" s="15" t="s">
        <v>22</v>
      </c>
    </row>
    <row r="144" spans="1:11" ht="42" customHeight="1">
      <c r="A144" s="4" t="s">
        <v>446</v>
      </c>
      <c r="B144" s="5" t="s">
        <v>447</v>
      </c>
      <c r="C144" s="5" t="s">
        <v>85</v>
      </c>
      <c r="D144" s="5" t="s">
        <v>86</v>
      </c>
      <c r="E144" s="5" t="s">
        <v>37</v>
      </c>
      <c r="F144" s="9">
        <v>29</v>
      </c>
      <c r="G144" s="9">
        <v>321</v>
      </c>
      <c r="H144" s="5" t="s">
        <v>20</v>
      </c>
      <c r="I144" s="5" t="s">
        <v>448</v>
      </c>
      <c r="J144" s="12" t="str">
        <f>HYPERLINK("https://www.boe.es/gazeta/dias/1804/04/10/pdfs/GMD-1804-29.pdf#page=11","Abrir facsímil")</f>
        <v>Abrir facsímil</v>
      </c>
      <c r="K144" s="15" t="s">
        <v>22</v>
      </c>
    </row>
    <row r="145" spans="1:11" ht="42" customHeight="1">
      <c r="A145" s="4" t="s">
        <v>449</v>
      </c>
      <c r="B145" s="5" t="s">
        <v>450</v>
      </c>
      <c r="C145" s="5" t="s">
        <v>85</v>
      </c>
      <c r="D145" s="5" t="s">
        <v>86</v>
      </c>
      <c r="E145" s="5" t="s">
        <v>50</v>
      </c>
      <c r="F145" s="9">
        <v>93</v>
      </c>
      <c r="G145" s="9">
        <v>1032</v>
      </c>
      <c r="H145" s="5" t="s">
        <v>20</v>
      </c>
      <c r="I145" s="5" t="s">
        <v>451</v>
      </c>
      <c r="J145" s="12" t="str">
        <f>HYPERLINK("https://www.boe.es/gazeta/dias/1804/11/20/pdfs/GMD-1804-93.pdf#page=8","Abrir facsímil")</f>
        <v>Abrir facsímil</v>
      </c>
      <c r="K145" s="15" t="s">
        <v>22</v>
      </c>
    </row>
    <row r="146" spans="1:11" ht="42" customHeight="1">
      <c r="A146" s="4" t="s">
        <v>452</v>
      </c>
      <c r="B146" s="5" t="s">
        <v>452</v>
      </c>
      <c r="C146" s="5" t="s">
        <v>198</v>
      </c>
      <c r="D146" s="5" t="s">
        <v>66</v>
      </c>
      <c r="E146" s="5" t="s">
        <v>453</v>
      </c>
      <c r="F146" s="9">
        <v>33</v>
      </c>
      <c r="G146" s="9">
        <v>368</v>
      </c>
      <c r="H146" s="5" t="s">
        <v>20</v>
      </c>
      <c r="I146" s="5" t="s">
        <v>454</v>
      </c>
      <c r="J146" s="12" t="str">
        <f>HYPERLINK("https://www.boe.es/gazeta/dias/1804/04/24/pdfs/GMD-1804-33.pdf#page=10","Abrir facsímil")</f>
        <v>Abrir facsímil</v>
      </c>
      <c r="K146" s="15" t="s">
        <v>22</v>
      </c>
    </row>
    <row r="147" spans="1:11" ht="42" customHeight="1">
      <c r="A147" s="4" t="s">
        <v>455</v>
      </c>
      <c r="B147" s="5" t="s">
        <v>456</v>
      </c>
      <c r="C147" s="5" t="s">
        <v>120</v>
      </c>
      <c r="D147" s="5" t="s">
        <v>121</v>
      </c>
      <c r="E147" s="5" t="s">
        <v>33</v>
      </c>
      <c r="F147" s="9">
        <v>48</v>
      </c>
      <c r="G147" s="9" t="s">
        <v>285</v>
      </c>
      <c r="H147" s="5" t="s">
        <v>20</v>
      </c>
      <c r="I147" s="5" t="s">
        <v>457</v>
      </c>
      <c r="J147" s="12" t="str">
        <f>HYPERLINK("https://www.boe.es/gazeta/dias/1804/06/15/pdfs/GMD-C-1804-48.pdf#page=2","Abrir facsímil")</f>
        <v>Abrir facsímil</v>
      </c>
      <c r="K147" s="15" t="s">
        <v>22</v>
      </c>
    </row>
    <row r="148" spans="1:11" ht="42" customHeight="1">
      <c r="A148" s="4" t="s">
        <v>458</v>
      </c>
      <c r="B148" s="5" t="s">
        <v>459</v>
      </c>
      <c r="C148" s="5" t="s">
        <v>27</v>
      </c>
      <c r="D148" s="5" t="s">
        <v>28</v>
      </c>
      <c r="E148" s="5" t="s">
        <v>326</v>
      </c>
      <c r="F148" s="9">
        <v>69</v>
      </c>
      <c r="G148" s="9">
        <v>775</v>
      </c>
      <c r="H148" s="5" t="s">
        <v>20</v>
      </c>
      <c r="I148" s="5" t="s">
        <v>460</v>
      </c>
      <c r="J148" s="12" t="str">
        <f>HYPERLINK("https://www.boe.es/gazeta/dias/1804/08/28/pdfs/GMD-1804-69.pdf#page=9","Abrir facsímil")</f>
        <v>Abrir facsímil</v>
      </c>
      <c r="K148" s="15" t="s">
        <v>22</v>
      </c>
    </row>
    <row r="149" spans="1:11" ht="42" customHeight="1">
      <c r="A149" s="4" t="s">
        <v>461</v>
      </c>
      <c r="B149" s="5" t="s">
        <v>462</v>
      </c>
      <c r="C149" s="5" t="s">
        <v>27</v>
      </c>
      <c r="D149" s="5" t="s">
        <v>28</v>
      </c>
      <c r="E149" s="5" t="s">
        <v>81</v>
      </c>
      <c r="F149" s="9">
        <v>98</v>
      </c>
      <c r="G149" s="9">
        <v>1089</v>
      </c>
      <c r="H149" s="5" t="s">
        <v>20</v>
      </c>
      <c r="I149" s="5" t="s">
        <v>463</v>
      </c>
      <c r="J149" s="12" t="str">
        <f>HYPERLINK("https://www.boe.es/gazeta/dias/1804/12/07/pdfs/GMD-1804-98.pdf#page=5","Abrir facsímil")</f>
        <v>Abrir facsímil</v>
      </c>
      <c r="K149" s="15" t="s">
        <v>22</v>
      </c>
    </row>
    <row r="150" spans="1:11" ht="42" customHeight="1">
      <c r="A150" s="4" t="s">
        <v>464</v>
      </c>
      <c r="B150" s="5" t="s">
        <v>465</v>
      </c>
      <c r="C150" s="5" t="s">
        <v>57</v>
      </c>
      <c r="D150" s="5" t="s">
        <v>58</v>
      </c>
      <c r="E150" s="5" t="s">
        <v>466</v>
      </c>
      <c r="F150" s="9">
        <v>76</v>
      </c>
      <c r="G150" s="9">
        <v>843</v>
      </c>
      <c r="H150" s="5" t="s">
        <v>20</v>
      </c>
      <c r="I150" s="5" t="s">
        <v>467</v>
      </c>
      <c r="J150" s="12" t="str">
        <f>HYPERLINK("https://www.boe.es/gazeta/dias/1804/09/21/pdfs/GMD-1804-76.pdf#page=1","Abrir facsímil")</f>
        <v>Abrir facsímil</v>
      </c>
      <c r="K150" s="15" t="s">
        <v>22</v>
      </c>
    </row>
    <row r="151" spans="1:11" ht="42" customHeight="1">
      <c r="A151" s="4" t="s">
        <v>468</v>
      </c>
      <c r="B151" s="5" t="s">
        <v>468</v>
      </c>
      <c r="C151" s="5" t="s">
        <v>65</v>
      </c>
      <c r="D151" s="5" t="s">
        <v>66</v>
      </c>
      <c r="E151" s="5" t="s">
        <v>111</v>
      </c>
      <c r="F151" s="9">
        <v>40</v>
      </c>
      <c r="G151" s="9">
        <v>449</v>
      </c>
      <c r="H151" s="5" t="s">
        <v>20</v>
      </c>
      <c r="I151" s="5" t="s">
        <v>469</v>
      </c>
      <c r="J151" s="12" t="str">
        <f>HYPERLINK("https://www.boe.es/gazeta/dias/1804/05/18/pdfs/GMD-1804-40.pdf#page=11","Abrir facsímil")</f>
        <v>Abrir facsímil</v>
      </c>
      <c r="K151" s="15" t="s">
        <v>22</v>
      </c>
    </row>
    <row r="152" spans="1:11" ht="42" customHeight="1">
      <c r="A152" s="4" t="s">
        <v>470</v>
      </c>
      <c r="B152" s="5" t="s">
        <v>470</v>
      </c>
      <c r="C152" s="5" t="s">
        <v>262</v>
      </c>
      <c r="D152" s="5" t="s">
        <v>263</v>
      </c>
      <c r="E152" s="5" t="s">
        <v>241</v>
      </c>
      <c r="F152" s="9">
        <v>71</v>
      </c>
      <c r="G152" s="9">
        <v>795</v>
      </c>
      <c r="H152" s="5" t="s">
        <v>20</v>
      </c>
      <c r="I152" s="5" t="s">
        <v>471</v>
      </c>
      <c r="J152" s="12" t="str">
        <f>HYPERLINK("https://www.boe.es/gazeta/dias/1804/09/04/pdfs/GMD-C-1804-71.pdf#page=1","Abrir facsímil")</f>
        <v>Abrir facsímil</v>
      </c>
      <c r="K152" s="15" t="s">
        <v>22</v>
      </c>
    </row>
    <row r="153" spans="1:11" ht="42" customHeight="1">
      <c r="A153" s="4" t="s">
        <v>470</v>
      </c>
      <c r="B153" s="5" t="s">
        <v>470</v>
      </c>
      <c r="C153" s="5" t="s">
        <v>17</v>
      </c>
      <c r="D153" s="5" t="s">
        <v>18</v>
      </c>
      <c r="E153" s="5" t="s">
        <v>208</v>
      </c>
      <c r="F153" s="9">
        <v>97</v>
      </c>
      <c r="G153" s="9">
        <v>1082</v>
      </c>
      <c r="H153" s="5" t="s">
        <v>20</v>
      </c>
      <c r="I153" s="5" t="s">
        <v>472</v>
      </c>
      <c r="J153" s="12" t="str">
        <f>HYPERLINK("https://www.boe.es/gazeta/dias/1804/12/04/pdfs/GMD-1804-97.pdf#page=10","Abrir facsímil")</f>
        <v>Abrir facsímil</v>
      </c>
      <c r="K153" s="15" t="s">
        <v>22</v>
      </c>
    </row>
    <row r="154" spans="1:11" ht="42" customHeight="1">
      <c r="A154" s="4" t="s">
        <v>473</v>
      </c>
      <c r="B154" s="5" t="s">
        <v>473</v>
      </c>
      <c r="C154" s="5" t="s">
        <v>27</v>
      </c>
      <c r="D154" s="5" t="s">
        <v>28</v>
      </c>
      <c r="E154" s="5" t="s">
        <v>54</v>
      </c>
      <c r="F154" s="9">
        <v>63</v>
      </c>
      <c r="G154" s="9">
        <v>701</v>
      </c>
      <c r="H154" s="5" t="s">
        <v>20</v>
      </c>
      <c r="I154" s="5" t="s">
        <v>474</v>
      </c>
      <c r="J154" s="12" t="str">
        <f>HYPERLINK("https://www.boe.es/gazeta/dias/1804/08/07/pdfs/GMD-1804-63.pdf#page=11","Abrir facsímil")</f>
        <v>Abrir facsímil</v>
      </c>
      <c r="K154" s="15" t="s">
        <v>22</v>
      </c>
    </row>
    <row r="155" spans="1:11" ht="42" customHeight="1">
      <c r="A155" s="4" t="s">
        <v>475</v>
      </c>
      <c r="B155" s="5" t="s">
        <v>476</v>
      </c>
      <c r="C155" s="5" t="s">
        <v>65</v>
      </c>
      <c r="D155" s="5" t="s">
        <v>66</v>
      </c>
      <c r="E155" s="5" t="s">
        <v>421</v>
      </c>
      <c r="F155" s="9">
        <v>47</v>
      </c>
      <c r="G155" s="9">
        <v>527</v>
      </c>
      <c r="H155" s="5" t="s">
        <v>20</v>
      </c>
      <c r="I155" s="5" t="s">
        <v>477</v>
      </c>
      <c r="J155" s="12" t="str">
        <f>HYPERLINK("https://www.boe.es/gazeta/dias/1804/06/12/pdfs/GMD-1804-47.pdf#page=9","Abrir facsímil")</f>
        <v>Abrir facsímil</v>
      </c>
      <c r="K155" s="15" t="s">
        <v>22</v>
      </c>
    </row>
    <row r="156" spans="1:11" ht="42" customHeight="1">
      <c r="A156" s="4" t="s">
        <v>478</v>
      </c>
      <c r="B156" s="5" t="s">
        <v>478</v>
      </c>
      <c r="C156" s="5" t="s">
        <v>65</v>
      </c>
      <c r="D156" s="5" t="s">
        <v>66</v>
      </c>
      <c r="E156" s="5" t="s">
        <v>479</v>
      </c>
      <c r="F156" s="9">
        <v>5</v>
      </c>
      <c r="G156" s="9">
        <v>46</v>
      </c>
      <c r="H156" s="5" t="s">
        <v>20</v>
      </c>
      <c r="I156" s="5" t="s">
        <v>480</v>
      </c>
      <c r="J156" s="12" t="str">
        <f>HYPERLINK("https://www.boe.es/gazeta/dias/1804/01/17/pdfs/GMD-1804-5.pdf#page=6","Abrir facsímil")</f>
        <v>Abrir facsímil</v>
      </c>
      <c r="K156" s="15" t="s">
        <v>22</v>
      </c>
    </row>
    <row r="157" spans="1:11" ht="42" customHeight="1">
      <c r="A157" s="4" t="s">
        <v>481</v>
      </c>
      <c r="B157" s="5" t="s">
        <v>481</v>
      </c>
      <c r="C157" s="5" t="s">
        <v>27</v>
      </c>
      <c r="D157" s="5" t="s">
        <v>28</v>
      </c>
      <c r="E157" s="5" t="s">
        <v>308</v>
      </c>
      <c r="F157" s="9">
        <v>96</v>
      </c>
      <c r="G157" s="9">
        <v>1068</v>
      </c>
      <c r="H157" s="5" t="s">
        <v>20</v>
      </c>
      <c r="I157" s="5" t="s">
        <v>482</v>
      </c>
      <c r="J157" s="12" t="str">
        <f>HYPERLINK("https://www.boe.es/gazeta/dias/1804/11/30/pdfs/GMD-1804-96.pdf#page=8","Abrir facsímil")</f>
        <v>Abrir facsímil</v>
      </c>
      <c r="K157" s="15" t="s">
        <v>22</v>
      </c>
    </row>
    <row r="158" spans="1:11" ht="42" customHeight="1">
      <c r="A158" s="4" t="s">
        <v>483</v>
      </c>
      <c r="B158" s="5" t="s">
        <v>483</v>
      </c>
      <c r="C158" s="5" t="s">
        <v>65</v>
      </c>
      <c r="D158" s="5" t="s">
        <v>66</v>
      </c>
      <c r="E158" s="5" t="s">
        <v>484</v>
      </c>
      <c r="F158" s="9">
        <v>53</v>
      </c>
      <c r="G158" s="9">
        <v>590</v>
      </c>
      <c r="H158" s="5" t="s">
        <v>20</v>
      </c>
      <c r="I158" s="5" t="s">
        <v>485</v>
      </c>
      <c r="J158" s="12" t="str">
        <f>HYPERLINK("https://www.boe.es/gazeta/dias/1804/07/03/pdfs/GMD-1804-53.pdf#page=8","Abrir facsímil")</f>
        <v>Abrir facsímil</v>
      </c>
      <c r="K158" s="15" t="s">
        <v>22</v>
      </c>
    </row>
    <row r="159" spans="1:11" ht="42" customHeight="1">
      <c r="A159" s="4" t="s">
        <v>486</v>
      </c>
      <c r="B159" s="5" t="s">
        <v>487</v>
      </c>
      <c r="C159" s="5" t="s">
        <v>17</v>
      </c>
      <c r="D159" s="5" t="s">
        <v>18</v>
      </c>
      <c r="E159" s="5" t="s">
        <v>298</v>
      </c>
      <c r="F159" s="9">
        <v>10</v>
      </c>
      <c r="G159" s="9">
        <v>112</v>
      </c>
      <c r="H159" s="5" t="s">
        <v>20</v>
      </c>
      <c r="I159" s="5" t="s">
        <v>488</v>
      </c>
      <c r="J159" s="12" t="str">
        <f>HYPERLINK("https://www.boe.es/gazeta/dias/1804/02/03/pdfs/GMD-1804-10.pdf#page=12","Abrir facsímil")</f>
        <v>Abrir facsímil</v>
      </c>
      <c r="K159" s="15" t="s">
        <v>22</v>
      </c>
    </row>
    <row r="160" spans="1:11" ht="42" customHeight="1">
      <c r="A160" s="4" t="s">
        <v>489</v>
      </c>
      <c r="B160" s="5" t="s">
        <v>489</v>
      </c>
      <c r="C160" s="5" t="s">
        <v>27</v>
      </c>
      <c r="D160" s="5" t="s">
        <v>28</v>
      </c>
      <c r="E160" s="5" t="s">
        <v>490</v>
      </c>
      <c r="F160" s="9">
        <v>100</v>
      </c>
      <c r="G160" s="9">
        <v>1119</v>
      </c>
      <c r="H160" s="5" t="s">
        <v>20</v>
      </c>
      <c r="I160" s="5" t="s">
        <v>491</v>
      </c>
      <c r="J160" s="12" t="str">
        <f>HYPERLINK("https://www.boe.es/gazeta/dias/1804/12/14/pdfs/GMD-1804-100.pdf#page=11","Abrir facsímil")</f>
        <v>Abrir facsímil</v>
      </c>
      <c r="K160" s="15" t="s">
        <v>22</v>
      </c>
    </row>
    <row r="161" spans="1:11" ht="42" customHeight="1">
      <c r="A161" s="4" t="s">
        <v>492</v>
      </c>
      <c r="B161" s="5" t="s">
        <v>493</v>
      </c>
      <c r="C161" s="5" t="s">
        <v>27</v>
      </c>
      <c r="D161" s="5" t="s">
        <v>28</v>
      </c>
      <c r="E161" s="5" t="s">
        <v>272</v>
      </c>
      <c r="F161" s="9">
        <v>30</v>
      </c>
      <c r="G161" s="9">
        <v>332</v>
      </c>
      <c r="H161" s="5" t="s">
        <v>20</v>
      </c>
      <c r="I161" s="5" t="s">
        <v>494</v>
      </c>
      <c r="J161" s="12" t="str">
        <f>HYPERLINK("https://www.boe.es/gazeta/dias/1804/04/13/pdfs/GMD-1804-30.pdf#page=10","Abrir facsímil")</f>
        <v>Abrir facsímil</v>
      </c>
      <c r="K161" s="15" t="s">
        <v>22</v>
      </c>
    </row>
    <row r="162" spans="1:11" ht="42" customHeight="1">
      <c r="A162" s="4" t="s">
        <v>495</v>
      </c>
      <c r="B162" s="5" t="s">
        <v>496</v>
      </c>
      <c r="C162" s="5" t="s">
        <v>27</v>
      </c>
      <c r="D162" s="5" t="s">
        <v>28</v>
      </c>
      <c r="E162" s="5" t="s">
        <v>497</v>
      </c>
      <c r="F162" s="9">
        <v>25</v>
      </c>
      <c r="G162" s="9">
        <v>285</v>
      </c>
      <c r="H162" s="5" t="s">
        <v>20</v>
      </c>
      <c r="I162" s="5" t="s">
        <v>498</v>
      </c>
      <c r="J162" s="12" t="str">
        <f>HYPERLINK("https://www.boe.es/gazeta/dias/1804/03/27/pdfs/GMD-1804-25.pdf#page=7","Abrir facsímil")</f>
        <v>Abrir facsímil</v>
      </c>
      <c r="K162" s="15" t="s">
        <v>22</v>
      </c>
    </row>
    <row r="163" spans="1:11" ht="42" customHeight="1">
      <c r="A163" s="4" t="s">
        <v>499</v>
      </c>
      <c r="B163" s="5" t="s">
        <v>500</v>
      </c>
      <c r="C163" s="5" t="s">
        <v>27</v>
      </c>
      <c r="D163" s="5" t="s">
        <v>28</v>
      </c>
      <c r="E163" s="5" t="s">
        <v>136</v>
      </c>
      <c r="F163" s="9">
        <v>23</v>
      </c>
      <c r="G163" s="9">
        <v>261</v>
      </c>
      <c r="H163" s="5" t="s">
        <v>20</v>
      </c>
      <c r="I163" s="5" t="s">
        <v>501</v>
      </c>
      <c r="J163" s="12" t="str">
        <f>HYPERLINK("https://www.boe.es/gazeta/dias/1804/03/20/pdfs/GMD-1804-23.pdf#page=7","Abrir facsímil")</f>
        <v>Abrir facsímil</v>
      </c>
      <c r="K163" s="15" t="s">
        <v>22</v>
      </c>
    </row>
    <row r="164" spans="1:11" ht="42" customHeight="1">
      <c r="A164" s="4" t="s">
        <v>502</v>
      </c>
      <c r="B164" s="5" t="s">
        <v>503</v>
      </c>
      <c r="C164" s="5" t="s">
        <v>120</v>
      </c>
      <c r="D164" s="5" t="s">
        <v>121</v>
      </c>
      <c r="E164" s="5" t="s">
        <v>33</v>
      </c>
      <c r="F164" s="9">
        <v>48</v>
      </c>
      <c r="G164" s="9" t="s">
        <v>98</v>
      </c>
      <c r="H164" s="5" t="s">
        <v>20</v>
      </c>
      <c r="I164" s="5" t="s">
        <v>504</v>
      </c>
      <c r="J164" s="12" t="str">
        <f>HYPERLINK("https://www.boe.es/gazeta/dias/1804/06/15/pdfs/GMD-C-1804-48.pdf#page=1","Abrir facsímil")</f>
        <v>Abrir facsímil</v>
      </c>
      <c r="K164" s="15" t="s">
        <v>22</v>
      </c>
    </row>
    <row r="165" spans="1:11" ht="42" customHeight="1">
      <c r="A165" s="4" t="s">
        <v>505</v>
      </c>
      <c r="B165" s="5" t="s">
        <v>506</v>
      </c>
      <c r="C165" s="5" t="s">
        <v>27</v>
      </c>
      <c r="D165" s="5" t="s">
        <v>28</v>
      </c>
      <c r="E165" s="5" t="s">
        <v>264</v>
      </c>
      <c r="F165" s="9">
        <v>49</v>
      </c>
      <c r="G165" s="9">
        <v>545</v>
      </c>
      <c r="H165" s="5" t="s">
        <v>20</v>
      </c>
      <c r="I165" s="5" t="s">
        <v>507</v>
      </c>
      <c r="J165" s="12" t="str">
        <f>HYPERLINK("https://www.boe.es/gazeta/dias/1804/06/19/pdfs/GMD-1804-49.pdf#page=7","Abrir facsímil")</f>
        <v>Abrir facsímil</v>
      </c>
      <c r="K165" s="15" t="s">
        <v>22</v>
      </c>
    </row>
    <row r="166" spans="1:11" ht="42" customHeight="1">
      <c r="A166" s="4" t="s">
        <v>508</v>
      </c>
      <c r="B166" s="5" t="s">
        <v>508</v>
      </c>
      <c r="C166" s="5" t="s">
        <v>65</v>
      </c>
      <c r="D166" s="5" t="s">
        <v>66</v>
      </c>
      <c r="E166" s="5" t="s">
        <v>308</v>
      </c>
      <c r="F166" s="9">
        <v>96</v>
      </c>
      <c r="G166" s="9">
        <v>1072</v>
      </c>
      <c r="H166" s="5" t="s">
        <v>20</v>
      </c>
      <c r="I166" s="5" t="s">
        <v>509</v>
      </c>
      <c r="J166" s="12" t="str">
        <f>HYPERLINK("https://www.boe.es/gazeta/dias/1804/11/30/pdfs/GMD-1804-96.pdf#page=12","Abrir facsímil")</f>
        <v>Abrir facsímil</v>
      </c>
      <c r="K166" s="15" t="s">
        <v>22</v>
      </c>
    </row>
    <row r="167" spans="1:11" ht="42" customHeight="1">
      <c r="A167" s="4" t="s">
        <v>510</v>
      </c>
      <c r="B167" s="5" t="s">
        <v>510</v>
      </c>
      <c r="C167" s="5" t="s">
        <v>57</v>
      </c>
      <c r="D167" s="5" t="s">
        <v>58</v>
      </c>
      <c r="E167" s="5" t="s">
        <v>511</v>
      </c>
      <c r="F167" s="9">
        <v>12</v>
      </c>
      <c r="G167" s="9">
        <v>132</v>
      </c>
      <c r="H167" s="5" t="s">
        <v>20</v>
      </c>
      <c r="I167" s="5" t="s">
        <v>512</v>
      </c>
      <c r="J167" s="12" t="str">
        <f>HYPERLINK("https://www.boe.es/gazeta/dias/1804/02/10/pdfs/GMD-1804-12.pdf#page=8","Abrir facsímil")</f>
        <v>Abrir facsímil</v>
      </c>
      <c r="K167" s="15" t="s">
        <v>22</v>
      </c>
    </row>
    <row r="168" spans="1:11" ht="42" customHeight="1">
      <c r="A168" s="4" t="s">
        <v>513</v>
      </c>
      <c r="B168" s="5" t="s">
        <v>514</v>
      </c>
      <c r="C168" s="5" t="s">
        <v>65</v>
      </c>
      <c r="D168" s="5" t="s">
        <v>66</v>
      </c>
      <c r="E168" s="5" t="s">
        <v>515</v>
      </c>
      <c r="F168" s="9">
        <v>102</v>
      </c>
      <c r="G168" s="9">
        <v>1134</v>
      </c>
      <c r="H168" s="5" t="s">
        <v>20</v>
      </c>
      <c r="I168" s="5" t="s">
        <v>516</v>
      </c>
      <c r="J168" s="12" t="str">
        <f>HYPERLINK("https://www.boe.es/gazeta/dias/1804/12/21/pdfs/GMD-1804-102.pdf#page=2","Abrir facsímil")</f>
        <v>Abrir facsímil</v>
      </c>
      <c r="K168" s="15" t="s">
        <v>22</v>
      </c>
    </row>
    <row r="169" spans="1:11" ht="42" customHeight="1">
      <c r="A169" s="4" t="s">
        <v>517</v>
      </c>
      <c r="B169" s="5" t="s">
        <v>518</v>
      </c>
      <c r="C169" s="5" t="s">
        <v>85</v>
      </c>
      <c r="D169" s="5" t="s">
        <v>86</v>
      </c>
      <c r="E169" s="5" t="s">
        <v>41</v>
      </c>
      <c r="F169" s="9">
        <v>24</v>
      </c>
      <c r="G169" s="9">
        <v>278</v>
      </c>
      <c r="H169" s="5" t="s">
        <v>20</v>
      </c>
      <c r="I169" s="5" t="s">
        <v>519</v>
      </c>
      <c r="J169" s="12" t="str">
        <f>HYPERLINK("https://www.boe.es/gazeta/dias/1804/03/23/pdfs/GMD-1804-24.pdf#page=12","Abrir facsímil")</f>
        <v>Abrir facsímil</v>
      </c>
      <c r="K169" s="15" t="s">
        <v>22</v>
      </c>
    </row>
    <row r="170" spans="1:11" ht="42" customHeight="1">
      <c r="A170" s="4" t="s">
        <v>520</v>
      </c>
      <c r="B170" s="5" t="s">
        <v>520</v>
      </c>
      <c r="C170" s="5" t="s">
        <v>65</v>
      </c>
      <c r="D170" s="5" t="s">
        <v>66</v>
      </c>
      <c r="E170" s="5" t="s">
        <v>216</v>
      </c>
      <c r="F170" s="9">
        <v>67</v>
      </c>
      <c r="G170" s="9">
        <v>751</v>
      </c>
      <c r="H170" s="5" t="s">
        <v>20</v>
      </c>
      <c r="I170" s="5" t="s">
        <v>521</v>
      </c>
      <c r="J170" s="12" t="str">
        <f>HYPERLINK("https://www.boe.es/gazeta/dias/1804/08/21/pdfs/GMD-1804-67.pdf#page=9","Abrir facsímil")</f>
        <v>Abrir facsímil</v>
      </c>
      <c r="K170" s="15" t="s">
        <v>22</v>
      </c>
    </row>
    <row r="171" spans="1:11" ht="42" customHeight="1">
      <c r="A171" s="4" t="s">
        <v>522</v>
      </c>
      <c r="B171" s="5" t="s">
        <v>522</v>
      </c>
      <c r="C171" s="5" t="s">
        <v>65</v>
      </c>
      <c r="D171" s="5" t="s">
        <v>66</v>
      </c>
      <c r="E171" s="5" t="s">
        <v>111</v>
      </c>
      <c r="F171" s="9">
        <v>40</v>
      </c>
      <c r="G171" s="9">
        <v>448</v>
      </c>
      <c r="H171" s="5" t="s">
        <v>20</v>
      </c>
      <c r="I171" s="5" t="s">
        <v>523</v>
      </c>
      <c r="J171" s="12" t="str">
        <f>HYPERLINK("https://www.boe.es/gazeta/dias/1804/05/18/pdfs/GMD-1804-40.pdf#page=10","Abrir facsímil")</f>
        <v>Abrir facsímil</v>
      </c>
      <c r="K171" s="15" t="s">
        <v>22</v>
      </c>
    </row>
    <row r="172" spans="1:11" ht="42" customHeight="1">
      <c r="A172" s="4" t="s">
        <v>524</v>
      </c>
      <c r="B172" s="5" t="s">
        <v>525</v>
      </c>
      <c r="C172" s="5" t="s">
        <v>65</v>
      </c>
      <c r="D172" s="5" t="s">
        <v>66</v>
      </c>
      <c r="E172" s="5" t="s">
        <v>526</v>
      </c>
      <c r="F172" s="9">
        <v>95</v>
      </c>
      <c r="G172" s="9">
        <v>1059</v>
      </c>
      <c r="H172" s="5" t="s">
        <v>20</v>
      </c>
      <c r="I172" s="5" t="s">
        <v>527</v>
      </c>
      <c r="J172" s="12" t="str">
        <f>HYPERLINK("https://www.boe.es/gazeta/dias/1804/11/27/pdfs/GMD-1804-95.pdf#page=11","Abrir facsímil")</f>
        <v>Abrir facsímil</v>
      </c>
      <c r="K172" s="15" t="s">
        <v>22</v>
      </c>
    </row>
    <row r="173" spans="1:11" ht="42" customHeight="1">
      <c r="A173" s="4" t="s">
        <v>528</v>
      </c>
      <c r="B173" s="5" t="s">
        <v>529</v>
      </c>
      <c r="C173" s="5" t="s">
        <v>17</v>
      </c>
      <c r="D173" s="5" t="s">
        <v>18</v>
      </c>
      <c r="E173" s="5" t="s">
        <v>484</v>
      </c>
      <c r="F173" s="9">
        <v>53</v>
      </c>
      <c r="G173" s="9">
        <v>587</v>
      </c>
      <c r="H173" s="5" t="s">
        <v>20</v>
      </c>
      <c r="I173" s="5" t="s">
        <v>530</v>
      </c>
      <c r="J173" s="12" t="str">
        <f>HYPERLINK("https://www.boe.es/gazeta/dias/1804/07/03/pdfs/GMD-1804-53.pdf#page=5","Abrir facsímil")</f>
        <v>Abrir facsímil</v>
      </c>
      <c r="K173" s="15" t="s">
        <v>22</v>
      </c>
    </row>
    <row r="174" spans="1:11" ht="42" customHeight="1">
      <c r="A174" s="4" t="s">
        <v>531</v>
      </c>
      <c r="B174" s="5" t="s">
        <v>532</v>
      </c>
      <c r="C174" s="5" t="s">
        <v>17</v>
      </c>
      <c r="D174" s="5" t="s">
        <v>18</v>
      </c>
      <c r="E174" s="5" t="s">
        <v>143</v>
      </c>
      <c r="F174" s="9">
        <v>87</v>
      </c>
      <c r="G174" s="9">
        <v>965</v>
      </c>
      <c r="H174" s="5" t="s">
        <v>20</v>
      </c>
      <c r="I174" s="5" t="s">
        <v>533</v>
      </c>
      <c r="J174" s="12" t="str">
        <f>HYPERLINK("https://www.boe.es/gazeta/dias/1804/10/30/pdfs/GMD-1804-87.pdf#page=9","Abrir facsímil")</f>
        <v>Abrir facsímil</v>
      </c>
      <c r="K174" s="15" t="s">
        <v>22</v>
      </c>
    </row>
    <row r="175" spans="1:11" ht="42" customHeight="1">
      <c r="A175" s="4" t="s">
        <v>534</v>
      </c>
      <c r="B175" s="5" t="s">
        <v>535</v>
      </c>
      <c r="C175" s="5" t="s">
        <v>65</v>
      </c>
      <c r="D175" s="5" t="s">
        <v>66</v>
      </c>
      <c r="E175" s="5" t="s">
        <v>526</v>
      </c>
      <c r="F175" s="9">
        <v>95</v>
      </c>
      <c r="G175" s="9">
        <v>1059</v>
      </c>
      <c r="H175" s="5" t="s">
        <v>20</v>
      </c>
      <c r="I175" s="5" t="s">
        <v>536</v>
      </c>
      <c r="J175" s="12" t="str">
        <f>HYPERLINK("https://www.boe.es/gazeta/dias/1804/11/27/pdfs/GMD-1804-95.pdf#page=11","Abrir facsímil")</f>
        <v>Abrir facsímil</v>
      </c>
      <c r="K175" s="15" t="s">
        <v>22</v>
      </c>
    </row>
    <row r="176" spans="1:11" ht="42" customHeight="1">
      <c r="A176" s="4" t="s">
        <v>537</v>
      </c>
      <c r="B176" s="5" t="s">
        <v>537</v>
      </c>
      <c r="C176" s="5" t="s">
        <v>65</v>
      </c>
      <c r="D176" s="5" t="s">
        <v>66</v>
      </c>
      <c r="E176" s="5" t="s">
        <v>538</v>
      </c>
      <c r="F176" s="9">
        <v>27</v>
      </c>
      <c r="G176" s="9">
        <v>301</v>
      </c>
      <c r="H176" s="5" t="s">
        <v>20</v>
      </c>
      <c r="I176" s="5" t="s">
        <v>539</v>
      </c>
      <c r="J176" s="12" t="str">
        <f>HYPERLINK("https://www.boe.es/gazeta/dias/1804/04/03/pdfs/GMD-1804-27.pdf#page=7","Abrir facsímil")</f>
        <v>Abrir facsímil</v>
      </c>
      <c r="K176" s="15" t="s">
        <v>22</v>
      </c>
    </row>
    <row r="177" spans="1:11" ht="42" customHeight="1">
      <c r="A177" s="4" t="s">
        <v>540</v>
      </c>
      <c r="B177" s="5" t="s">
        <v>541</v>
      </c>
      <c r="C177" s="5" t="s">
        <v>57</v>
      </c>
      <c r="D177" s="5" t="s">
        <v>58</v>
      </c>
      <c r="E177" s="5" t="s">
        <v>542</v>
      </c>
      <c r="F177" s="9">
        <v>54</v>
      </c>
      <c r="G177" s="9">
        <v>596</v>
      </c>
      <c r="H177" s="5" t="s">
        <v>20</v>
      </c>
      <c r="I177" s="5" t="s">
        <v>543</v>
      </c>
      <c r="J177" s="12" t="str">
        <f>HYPERLINK("https://www.boe.es/gazeta/dias/1804/07/06/pdfs/GMD-1804-54.pdf#page=2","Abrir facsímil")</f>
        <v>Abrir facsímil</v>
      </c>
      <c r="K177" s="15" t="s">
        <v>22</v>
      </c>
    </row>
    <row r="178" spans="1:11" ht="42" customHeight="1">
      <c r="A178" s="4" t="s">
        <v>540</v>
      </c>
      <c r="B178" s="5" t="s">
        <v>541</v>
      </c>
      <c r="C178" s="5" t="s">
        <v>65</v>
      </c>
      <c r="D178" s="5" t="s">
        <v>66</v>
      </c>
      <c r="E178" s="5" t="s">
        <v>59</v>
      </c>
      <c r="F178" s="9">
        <v>55</v>
      </c>
      <c r="G178" s="9">
        <v>603</v>
      </c>
      <c r="H178" s="5" t="s">
        <v>20</v>
      </c>
      <c r="I178" s="5" t="s">
        <v>544</v>
      </c>
      <c r="J178" s="12" t="str">
        <f>HYPERLINK("https://www.boe.es/gazeta/dias/1804/07/10/pdfs/GMD-1804-55.pdf#page=1","Abrir facsímil")</f>
        <v>Abrir facsímil</v>
      </c>
      <c r="K178" s="15" t="s">
        <v>22</v>
      </c>
    </row>
    <row r="179" spans="1:11" ht="42" customHeight="1">
      <c r="A179" s="4" t="s">
        <v>540</v>
      </c>
      <c r="B179" s="5" t="s">
        <v>541</v>
      </c>
      <c r="C179" s="5" t="s">
        <v>57</v>
      </c>
      <c r="D179" s="5" t="s">
        <v>58</v>
      </c>
      <c r="E179" s="5" t="s">
        <v>61</v>
      </c>
      <c r="F179" s="9">
        <v>61</v>
      </c>
      <c r="G179" s="9">
        <v>673</v>
      </c>
      <c r="H179" s="5" t="s">
        <v>20</v>
      </c>
      <c r="I179" s="5" t="s">
        <v>545</v>
      </c>
      <c r="J179" s="12" t="str">
        <f>HYPERLINK("https://www.boe.es/gazeta/dias/1804/07/31/pdfs/GMD-1804-61.pdf#page=3","Abrir facsímil")</f>
        <v>Abrir facsímil</v>
      </c>
      <c r="K179" s="15" t="s">
        <v>22</v>
      </c>
    </row>
    <row r="180" spans="1:11" ht="42" customHeight="1">
      <c r="A180" s="4" t="s">
        <v>540</v>
      </c>
      <c r="B180" s="5" t="s">
        <v>541</v>
      </c>
      <c r="C180" s="5" t="s">
        <v>27</v>
      </c>
      <c r="D180" s="5" t="s">
        <v>28</v>
      </c>
      <c r="E180" s="5" t="s">
        <v>367</v>
      </c>
      <c r="F180" s="9">
        <v>64</v>
      </c>
      <c r="G180" s="9">
        <v>708</v>
      </c>
      <c r="H180" s="5" t="s">
        <v>20</v>
      </c>
      <c r="I180" s="5" t="s">
        <v>546</v>
      </c>
      <c r="J180" s="12" t="str">
        <f>HYPERLINK("https://www.boe.es/gazeta/dias/1804/08/10/pdfs/GMD-1804-64.pdf#page=2","Abrir facsímil")</f>
        <v>Abrir facsímil</v>
      </c>
      <c r="K180" s="15" t="s">
        <v>22</v>
      </c>
    </row>
    <row r="181" spans="1:11" ht="42" customHeight="1">
      <c r="A181" s="4" t="s">
        <v>540</v>
      </c>
      <c r="B181" s="5" t="s">
        <v>541</v>
      </c>
      <c r="C181" s="5" t="s">
        <v>57</v>
      </c>
      <c r="D181" s="5" t="s">
        <v>58</v>
      </c>
      <c r="E181" s="5" t="s">
        <v>547</v>
      </c>
      <c r="F181" s="9">
        <v>68</v>
      </c>
      <c r="G181" s="9">
        <v>756</v>
      </c>
      <c r="H181" s="5" t="s">
        <v>20</v>
      </c>
      <c r="I181" s="5" t="s">
        <v>548</v>
      </c>
      <c r="J181" s="12" t="str">
        <f>HYPERLINK("https://www.boe.es/gazeta/dias/1804/08/24/pdfs/GMD-1804-68.pdf#page=2","Abrir facsímil")</f>
        <v>Abrir facsímil</v>
      </c>
      <c r="K181" s="15" t="s">
        <v>22</v>
      </c>
    </row>
    <row r="182" spans="1:11" ht="42" customHeight="1">
      <c r="A182" s="4" t="s">
        <v>540</v>
      </c>
      <c r="B182" s="5" t="s">
        <v>541</v>
      </c>
      <c r="C182" s="5" t="s">
        <v>27</v>
      </c>
      <c r="D182" s="5" t="s">
        <v>28</v>
      </c>
      <c r="E182" s="5" t="s">
        <v>427</v>
      </c>
      <c r="F182" s="9">
        <v>80</v>
      </c>
      <c r="G182" s="9">
        <v>885</v>
      </c>
      <c r="H182" s="5" t="s">
        <v>20</v>
      </c>
      <c r="I182" s="5" t="s">
        <v>549</v>
      </c>
      <c r="J182" s="12" t="str">
        <f>HYPERLINK("https://www.boe.es/gazeta/dias/1804/10/05/pdfs/GMD-1804-80.pdf#page=3","Abrir facsímil")</f>
        <v>Abrir facsímil</v>
      </c>
      <c r="K182" s="15" t="s">
        <v>22</v>
      </c>
    </row>
    <row r="183" spans="1:11" ht="42" customHeight="1">
      <c r="A183" s="4" t="s">
        <v>540</v>
      </c>
      <c r="B183" s="5" t="s">
        <v>541</v>
      </c>
      <c r="C183" s="5" t="s">
        <v>17</v>
      </c>
      <c r="D183" s="5" t="s">
        <v>18</v>
      </c>
      <c r="E183" s="5" t="s">
        <v>29</v>
      </c>
      <c r="F183" s="9">
        <v>88</v>
      </c>
      <c r="G183" s="9">
        <v>971</v>
      </c>
      <c r="H183" s="5" t="s">
        <v>20</v>
      </c>
      <c r="I183" s="5" t="s">
        <v>550</v>
      </c>
      <c r="J183" s="12" t="str">
        <f>HYPERLINK("https://www.boe.es/gazeta/dias/1804/11/02/pdfs/GMD-1804-88.pdf#page=3","Abrir facsímil")</f>
        <v>Abrir facsímil</v>
      </c>
      <c r="K183" s="15" t="s">
        <v>22</v>
      </c>
    </row>
    <row r="184" spans="1:11" ht="42" customHeight="1">
      <c r="A184" s="4" t="s">
        <v>540</v>
      </c>
      <c r="B184" s="5" t="s">
        <v>541</v>
      </c>
      <c r="C184" s="5" t="s">
        <v>57</v>
      </c>
      <c r="D184" s="5" t="s">
        <v>58</v>
      </c>
      <c r="E184" s="5" t="s">
        <v>50</v>
      </c>
      <c r="F184" s="9">
        <v>93</v>
      </c>
      <c r="G184" s="9">
        <v>1025</v>
      </c>
      <c r="H184" s="5" t="s">
        <v>20</v>
      </c>
      <c r="I184" s="5" t="s">
        <v>551</v>
      </c>
      <c r="J184" s="12" t="str">
        <f>HYPERLINK("https://www.boe.es/gazeta/dias/1804/11/20/pdfs/GMD-1804-93.pdf#page=1","Abrir facsímil")</f>
        <v>Abrir facsímil</v>
      </c>
      <c r="K184" s="15" t="s">
        <v>22</v>
      </c>
    </row>
    <row r="185" spans="1:11" ht="42" customHeight="1">
      <c r="A185" s="4" t="s">
        <v>552</v>
      </c>
      <c r="B185" s="5" t="s">
        <v>553</v>
      </c>
      <c r="C185" s="5" t="s">
        <v>17</v>
      </c>
      <c r="D185" s="5" t="s">
        <v>18</v>
      </c>
      <c r="E185" s="5" t="s">
        <v>151</v>
      </c>
      <c r="F185" s="9">
        <v>13</v>
      </c>
      <c r="G185" s="9">
        <v>143</v>
      </c>
      <c r="H185" s="5" t="s">
        <v>20</v>
      </c>
      <c r="I185" s="5" t="s">
        <v>554</v>
      </c>
      <c r="J185" s="12" t="str">
        <f>HYPERLINK("https://www.boe.es/gazeta/dias/1804/02/14/pdfs/GMD-1804-13.pdf#page=7","Abrir facsímil")</f>
        <v>Abrir facsímil</v>
      </c>
      <c r="K185" s="15" t="s">
        <v>22</v>
      </c>
    </row>
    <row r="186" spans="1:11" ht="42" customHeight="1">
      <c r="A186" s="4" t="s">
        <v>555</v>
      </c>
      <c r="B186" s="5" t="s">
        <v>555</v>
      </c>
      <c r="C186" s="5" t="s">
        <v>17</v>
      </c>
      <c r="D186" s="5" t="s">
        <v>18</v>
      </c>
      <c r="E186" s="5" t="s">
        <v>67</v>
      </c>
      <c r="F186" s="9">
        <v>59</v>
      </c>
      <c r="G186" s="9">
        <v>651</v>
      </c>
      <c r="H186" s="5" t="s">
        <v>20</v>
      </c>
      <c r="I186" s="5" t="s">
        <v>556</v>
      </c>
      <c r="J186" s="12" t="str">
        <f>HYPERLINK("https://www.boe.es/gazeta/dias/1804/07/24/pdfs/GMD-1804-59.pdf#page=5","Abrir facsímil")</f>
        <v>Abrir facsímil</v>
      </c>
      <c r="K186" s="15" t="s">
        <v>22</v>
      </c>
    </row>
    <row r="187" spans="1:11" ht="42" customHeight="1">
      <c r="A187" s="4" t="s">
        <v>557</v>
      </c>
      <c r="B187" s="5" t="s">
        <v>558</v>
      </c>
      <c r="C187" s="5" t="s">
        <v>17</v>
      </c>
      <c r="D187" s="5" t="s">
        <v>18</v>
      </c>
      <c r="E187" s="5" t="s">
        <v>37</v>
      </c>
      <c r="F187" s="9">
        <v>29</v>
      </c>
      <c r="G187" s="9">
        <v>319</v>
      </c>
      <c r="H187" s="5" t="s">
        <v>20</v>
      </c>
      <c r="I187" s="5" t="s">
        <v>559</v>
      </c>
      <c r="J187" s="12" t="str">
        <f>HYPERLINK("https://www.boe.es/gazeta/dias/1804/04/10/pdfs/GMD-1804-29.pdf#page=9","Abrir facsímil")</f>
        <v>Abrir facsímil</v>
      </c>
      <c r="K187" s="15" t="s">
        <v>22</v>
      </c>
    </row>
    <row r="188" spans="1:11" ht="42" customHeight="1">
      <c r="A188" s="4" t="s">
        <v>560</v>
      </c>
      <c r="B188" s="5" t="s">
        <v>561</v>
      </c>
      <c r="C188" s="5" t="s">
        <v>17</v>
      </c>
      <c r="D188" s="5" t="s">
        <v>18</v>
      </c>
      <c r="E188" s="5" t="s">
        <v>542</v>
      </c>
      <c r="F188" s="9">
        <v>54</v>
      </c>
      <c r="G188" s="9">
        <v>601</v>
      </c>
      <c r="H188" s="5" t="s">
        <v>20</v>
      </c>
      <c r="I188" s="5" t="s">
        <v>562</v>
      </c>
      <c r="J188" s="12" t="str">
        <f>HYPERLINK("https://www.boe.es/gazeta/dias/1804/07/06/pdfs/GMD-1804-54.pdf#page=7","Abrir facsímil")</f>
        <v>Abrir facsímil</v>
      </c>
      <c r="K188" s="15" t="s">
        <v>22</v>
      </c>
    </row>
    <row r="189" spans="1:11" ht="42" customHeight="1">
      <c r="A189" s="4" t="s">
        <v>563</v>
      </c>
      <c r="B189" s="5" t="s">
        <v>564</v>
      </c>
      <c r="C189" s="5" t="s">
        <v>57</v>
      </c>
      <c r="D189" s="5" t="s">
        <v>58</v>
      </c>
      <c r="E189" s="5" t="s">
        <v>216</v>
      </c>
      <c r="F189" s="9">
        <v>67</v>
      </c>
      <c r="G189" s="9">
        <v>747</v>
      </c>
      <c r="H189" s="5" t="s">
        <v>20</v>
      </c>
      <c r="I189" s="5" t="s">
        <v>565</v>
      </c>
      <c r="J189" s="12" t="str">
        <f>HYPERLINK("https://www.boe.es/gazeta/dias/1804/08/21/pdfs/GMD-1804-67.pdf#page=5","Abrir facsímil")</f>
        <v>Abrir facsímil</v>
      </c>
      <c r="K189" s="15" t="s">
        <v>22</v>
      </c>
    </row>
    <row r="190" spans="1:11" ht="42" customHeight="1">
      <c r="A190" s="4" t="s">
        <v>566</v>
      </c>
      <c r="B190" s="5" t="s">
        <v>567</v>
      </c>
      <c r="C190" s="5" t="s">
        <v>120</v>
      </c>
      <c r="D190" s="5" t="s">
        <v>121</v>
      </c>
      <c r="E190" s="5" t="s">
        <v>33</v>
      </c>
      <c r="F190" s="9">
        <v>48</v>
      </c>
      <c r="G190" s="9" t="s">
        <v>98</v>
      </c>
      <c r="H190" s="5" t="s">
        <v>20</v>
      </c>
      <c r="I190" s="5" t="s">
        <v>568</v>
      </c>
      <c r="J190" s="12" t="str">
        <f>HYPERLINK("https://www.boe.es/gazeta/dias/1804/06/15/pdfs/GMD-C-1804-48.pdf#page=1","Abrir facsímil")</f>
        <v>Abrir facsímil</v>
      </c>
      <c r="K190" s="15" t="s">
        <v>22</v>
      </c>
    </row>
    <row r="191" spans="1:11" ht="42" customHeight="1">
      <c r="A191" s="4" t="s">
        <v>569</v>
      </c>
      <c r="B191" s="5" t="s">
        <v>570</v>
      </c>
      <c r="C191" s="5" t="s">
        <v>198</v>
      </c>
      <c r="D191" s="5" t="s">
        <v>66</v>
      </c>
      <c r="E191" s="5" t="s">
        <v>37</v>
      </c>
      <c r="F191" s="9">
        <v>29</v>
      </c>
      <c r="G191" s="9">
        <v>318</v>
      </c>
      <c r="H191" s="5" t="s">
        <v>20</v>
      </c>
      <c r="I191" s="5" t="s">
        <v>571</v>
      </c>
      <c r="J191" s="12" t="str">
        <f>HYPERLINK("https://www.boe.es/gazeta/dias/1804/04/10/pdfs/GMD-1804-29.pdf#page=8","Abrir facsímil")</f>
        <v>Abrir facsímil</v>
      </c>
      <c r="K191" s="15" t="s">
        <v>22</v>
      </c>
    </row>
    <row r="192" spans="1:11" ht="42" customHeight="1">
      <c r="A192" s="4" t="s">
        <v>572</v>
      </c>
      <c r="B192" s="5" t="s">
        <v>573</v>
      </c>
      <c r="C192" s="5" t="s">
        <v>27</v>
      </c>
      <c r="D192" s="5" t="s">
        <v>28</v>
      </c>
      <c r="E192" s="5" t="s">
        <v>272</v>
      </c>
      <c r="F192" s="9">
        <v>30</v>
      </c>
      <c r="G192" s="9">
        <v>330</v>
      </c>
      <c r="H192" s="5" t="s">
        <v>20</v>
      </c>
      <c r="I192" s="5" t="s">
        <v>574</v>
      </c>
      <c r="J192" s="12" t="str">
        <f>HYPERLINK("https://www.boe.es/gazeta/dias/1804/04/13/pdfs/GMD-1804-30.pdf#page=8","Abrir facsímil")</f>
        <v>Abrir facsímil</v>
      </c>
      <c r="K192" s="15" t="s">
        <v>22</v>
      </c>
    </row>
    <row r="193" spans="1:11" ht="42" customHeight="1">
      <c r="A193" s="4" t="s">
        <v>575</v>
      </c>
      <c r="B193" s="5" t="s">
        <v>575</v>
      </c>
      <c r="C193" s="5" t="s">
        <v>57</v>
      </c>
      <c r="D193" s="5" t="s">
        <v>58</v>
      </c>
      <c r="E193" s="5" t="s">
        <v>576</v>
      </c>
      <c r="F193" s="9">
        <v>85</v>
      </c>
      <c r="G193" s="9">
        <v>933</v>
      </c>
      <c r="H193" s="5" t="s">
        <v>20</v>
      </c>
      <c r="I193" s="5" t="s">
        <v>577</v>
      </c>
      <c r="J193" s="12" t="str">
        <f>HYPERLINK("https://www.boe.es/gazeta/dias/1804/10/23/pdfs/GMD-1804-85.pdf#page=3","Abrir facsímil")</f>
        <v>Abrir facsímil</v>
      </c>
      <c r="K193" s="15" t="s">
        <v>22</v>
      </c>
    </row>
    <row r="194" spans="1:11" ht="42" customHeight="1">
      <c r="A194" s="4" t="s">
        <v>578</v>
      </c>
      <c r="B194" s="5" t="s">
        <v>578</v>
      </c>
      <c r="C194" s="5" t="s">
        <v>27</v>
      </c>
      <c r="D194" s="5" t="s">
        <v>28</v>
      </c>
      <c r="E194" s="5" t="s">
        <v>175</v>
      </c>
      <c r="F194" s="9">
        <v>58</v>
      </c>
      <c r="G194" s="9">
        <v>639</v>
      </c>
      <c r="H194" s="5" t="s">
        <v>20</v>
      </c>
      <c r="I194" s="5" t="s">
        <v>579</v>
      </c>
      <c r="J194" s="12" t="str">
        <f>HYPERLINK("https://www.boe.es/gazeta/dias/1804/07/20/pdfs/GMD-1804-58.pdf#page=5","Abrir facsímil")</f>
        <v>Abrir facsímil</v>
      </c>
      <c r="K194" s="15" t="s">
        <v>22</v>
      </c>
    </row>
    <row r="195" spans="1:11" ht="42" customHeight="1">
      <c r="A195" s="4" t="s">
        <v>580</v>
      </c>
      <c r="B195" s="5" t="s">
        <v>581</v>
      </c>
      <c r="C195" s="5" t="s">
        <v>27</v>
      </c>
      <c r="D195" s="5" t="s">
        <v>28</v>
      </c>
      <c r="E195" s="5" t="s">
        <v>191</v>
      </c>
      <c r="F195" s="9">
        <v>101</v>
      </c>
      <c r="G195" s="9">
        <v>1121</v>
      </c>
      <c r="H195" s="5" t="s">
        <v>20</v>
      </c>
      <c r="I195" s="5" t="s">
        <v>582</v>
      </c>
      <c r="J195" s="12" t="str">
        <f>HYPERLINK("https://www.boe.es/gazeta/dias/1804/12/18/pdfs/GMD-1804-101.pdf#page=1","Abrir facsímil")</f>
        <v>Abrir facsímil</v>
      </c>
      <c r="K195" s="15" t="s">
        <v>22</v>
      </c>
    </row>
    <row r="196" spans="1:11" ht="42" customHeight="1">
      <c r="A196" s="4" t="s">
        <v>583</v>
      </c>
      <c r="B196" s="5" t="s">
        <v>583</v>
      </c>
      <c r="C196" s="5" t="s">
        <v>57</v>
      </c>
      <c r="D196" s="5" t="s">
        <v>58</v>
      </c>
      <c r="E196" s="5" t="s">
        <v>147</v>
      </c>
      <c r="F196" s="9">
        <v>77</v>
      </c>
      <c r="G196" s="9">
        <v>853</v>
      </c>
      <c r="H196" s="5" t="s">
        <v>20</v>
      </c>
      <c r="I196" s="5" t="s">
        <v>584</v>
      </c>
      <c r="J196" s="12" t="str">
        <f>HYPERLINK("https://www.boe.es/gazeta/dias/1804/09/25/pdfs/GMD-1804-77.pdf#page=3","Abrir facsímil")</f>
        <v>Abrir facsímil</v>
      </c>
      <c r="K196" s="15" t="s">
        <v>22</v>
      </c>
    </row>
    <row r="197" spans="1:11" ht="42" customHeight="1">
      <c r="A197" s="4" t="s">
        <v>585</v>
      </c>
      <c r="B197" s="5" t="s">
        <v>586</v>
      </c>
      <c r="C197" s="5" t="s">
        <v>17</v>
      </c>
      <c r="D197" s="5" t="s">
        <v>18</v>
      </c>
      <c r="E197" s="5" t="s">
        <v>587</v>
      </c>
      <c r="F197" s="9">
        <v>62</v>
      </c>
      <c r="G197" s="9">
        <v>688</v>
      </c>
      <c r="H197" s="5" t="s">
        <v>20</v>
      </c>
      <c r="I197" s="5" t="s">
        <v>588</v>
      </c>
      <c r="J197" s="12" t="str">
        <f>HYPERLINK("https://www.boe.es/gazeta/dias/1804/08/03/pdfs/GMD-1804-62.pdf#page=10","Abrir facsímil")</f>
        <v>Abrir facsímil</v>
      </c>
      <c r="K197" s="15" t="s">
        <v>22</v>
      </c>
    </row>
    <row r="198" spans="1:11" ht="42" customHeight="1">
      <c r="A198" s="4" t="s">
        <v>589</v>
      </c>
      <c r="B198" s="5" t="s">
        <v>590</v>
      </c>
      <c r="C198" s="5" t="s">
        <v>198</v>
      </c>
      <c r="D198" s="5" t="s">
        <v>66</v>
      </c>
      <c r="E198" s="5" t="s">
        <v>81</v>
      </c>
      <c r="F198" s="9">
        <v>98</v>
      </c>
      <c r="G198" s="9">
        <v>1088</v>
      </c>
      <c r="H198" s="5" t="s">
        <v>20</v>
      </c>
      <c r="I198" s="5" t="s">
        <v>591</v>
      </c>
      <c r="J198" s="12" t="str">
        <f>HYPERLINK("https://www.boe.es/gazeta/dias/1804/12/07/pdfs/GMD-1804-98.pdf#page=4","Abrir facsímil")</f>
        <v>Abrir facsímil</v>
      </c>
      <c r="K198" s="15" t="s">
        <v>22</v>
      </c>
    </row>
    <row r="199" spans="1:11" ht="42" customHeight="1">
      <c r="A199" s="4" t="s">
        <v>592</v>
      </c>
      <c r="B199" s="5" t="s">
        <v>593</v>
      </c>
      <c r="C199" s="5" t="s">
        <v>27</v>
      </c>
      <c r="D199" s="5" t="s">
        <v>28</v>
      </c>
      <c r="E199" s="5" t="s">
        <v>264</v>
      </c>
      <c r="F199" s="9">
        <v>49</v>
      </c>
      <c r="G199" s="9">
        <v>544</v>
      </c>
      <c r="H199" s="5" t="s">
        <v>20</v>
      </c>
      <c r="I199" s="5" t="s">
        <v>594</v>
      </c>
      <c r="J199" s="12" t="str">
        <f>HYPERLINK("https://www.boe.es/gazeta/dias/1804/06/19/pdfs/GMD-1804-49.pdf#page=6","Abrir facsímil")</f>
        <v>Abrir facsímil</v>
      </c>
      <c r="K199" s="15" t="s">
        <v>22</v>
      </c>
    </row>
    <row r="200" spans="1:11" ht="42" customHeight="1">
      <c r="A200" s="4" t="s">
        <v>595</v>
      </c>
      <c r="B200" s="5" t="s">
        <v>596</v>
      </c>
      <c r="C200" s="5" t="s">
        <v>27</v>
      </c>
      <c r="D200" s="5" t="s">
        <v>28</v>
      </c>
      <c r="E200" s="5" t="s">
        <v>81</v>
      </c>
      <c r="F200" s="9">
        <v>98</v>
      </c>
      <c r="G200" s="9">
        <v>1090</v>
      </c>
      <c r="H200" s="5" t="s">
        <v>20</v>
      </c>
      <c r="I200" s="5" t="s">
        <v>597</v>
      </c>
      <c r="J200" s="12" t="str">
        <f>HYPERLINK("https://www.boe.es/gazeta/dias/1804/12/07/pdfs/GMD-1804-98.pdf#page=6","Abrir facsímil")</f>
        <v>Abrir facsímil</v>
      </c>
      <c r="K200" s="15" t="s">
        <v>22</v>
      </c>
    </row>
    <row r="201" spans="1:11" ht="42" customHeight="1">
      <c r="A201" s="4" t="s">
        <v>598</v>
      </c>
      <c r="B201" s="5" t="s">
        <v>599</v>
      </c>
      <c r="C201" s="5" t="s">
        <v>27</v>
      </c>
      <c r="D201" s="5" t="s">
        <v>28</v>
      </c>
      <c r="E201" s="5" t="s">
        <v>538</v>
      </c>
      <c r="F201" s="9">
        <v>27</v>
      </c>
      <c r="G201" s="9">
        <v>300</v>
      </c>
      <c r="H201" s="5" t="s">
        <v>20</v>
      </c>
      <c r="I201" s="5" t="s">
        <v>600</v>
      </c>
      <c r="J201" s="12" t="str">
        <f>HYPERLINK("https://www.boe.es/gazeta/dias/1804/04/03/pdfs/GMD-1804-27.pdf#page=6","Abrir facsímil")</f>
        <v>Abrir facsímil</v>
      </c>
      <c r="K201" s="15" t="s">
        <v>22</v>
      </c>
    </row>
    <row r="202" spans="1:11" ht="42" customHeight="1">
      <c r="A202" s="4" t="s">
        <v>601</v>
      </c>
      <c r="B202" s="5" t="s">
        <v>601</v>
      </c>
      <c r="C202" s="5" t="s">
        <v>57</v>
      </c>
      <c r="D202" s="5" t="s">
        <v>58</v>
      </c>
      <c r="E202" s="5" t="s">
        <v>216</v>
      </c>
      <c r="F202" s="9">
        <v>67</v>
      </c>
      <c r="G202" s="9">
        <v>744</v>
      </c>
      <c r="H202" s="5" t="s">
        <v>20</v>
      </c>
      <c r="I202" s="5" t="s">
        <v>602</v>
      </c>
      <c r="J202" s="12" t="str">
        <f>HYPERLINK("https://www.boe.es/gazeta/dias/1804/08/21/pdfs/GMD-1804-67.pdf#page=2","Abrir facsímil")</f>
        <v>Abrir facsímil</v>
      </c>
      <c r="K202" s="15" t="s">
        <v>22</v>
      </c>
    </row>
    <row r="203" spans="1:11" ht="42" customHeight="1">
      <c r="A203" s="4" t="s">
        <v>603</v>
      </c>
      <c r="B203" s="5" t="s">
        <v>604</v>
      </c>
      <c r="C203" s="5" t="s">
        <v>120</v>
      </c>
      <c r="D203" s="5" t="s">
        <v>121</v>
      </c>
      <c r="E203" s="5" t="s">
        <v>33</v>
      </c>
      <c r="F203" s="9">
        <v>48</v>
      </c>
      <c r="G203" s="9" t="s">
        <v>122</v>
      </c>
      <c r="H203" s="5" t="s">
        <v>20</v>
      </c>
      <c r="I203" s="5" t="s">
        <v>605</v>
      </c>
      <c r="J203" s="12" t="str">
        <f>HYPERLINK("https://www.boe.es/gazeta/dias/1804/06/15/pdfs/GMD-C-1804-48.pdf#page=3","Abrir facsímil")</f>
        <v>Abrir facsímil</v>
      </c>
      <c r="K203" s="15" t="s">
        <v>22</v>
      </c>
    </row>
    <row r="204" spans="1:11" ht="42" customHeight="1">
      <c r="A204" s="4" t="s">
        <v>606</v>
      </c>
      <c r="B204" s="5" t="s">
        <v>606</v>
      </c>
      <c r="C204" s="5" t="s">
        <v>57</v>
      </c>
      <c r="D204" s="5" t="s">
        <v>58</v>
      </c>
      <c r="E204" s="5" t="s">
        <v>576</v>
      </c>
      <c r="F204" s="9">
        <v>85</v>
      </c>
      <c r="G204" s="9">
        <v>933</v>
      </c>
      <c r="H204" s="5" t="s">
        <v>20</v>
      </c>
      <c r="I204" s="5" t="s">
        <v>607</v>
      </c>
      <c r="J204" s="12" t="str">
        <f>HYPERLINK("https://www.boe.es/gazeta/dias/1804/10/23/pdfs/GMD-1804-85.pdf#page=3","Abrir facsímil")</f>
        <v>Abrir facsímil</v>
      </c>
      <c r="K204" s="15" t="s">
        <v>22</v>
      </c>
    </row>
    <row r="205" spans="1:11" ht="42" customHeight="1">
      <c r="A205" s="4" t="s">
        <v>608</v>
      </c>
      <c r="B205" s="5" t="s">
        <v>608</v>
      </c>
      <c r="C205" s="5" t="s">
        <v>57</v>
      </c>
      <c r="D205" s="5" t="s">
        <v>58</v>
      </c>
      <c r="E205" s="5" t="s">
        <v>155</v>
      </c>
      <c r="F205" s="9">
        <v>92</v>
      </c>
      <c r="G205" s="9">
        <v>1015</v>
      </c>
      <c r="H205" s="5" t="s">
        <v>20</v>
      </c>
      <c r="I205" s="5" t="s">
        <v>609</v>
      </c>
      <c r="J205" s="12" t="str">
        <f>HYPERLINK("https://www.boe.es/gazeta/dias/1804/11/16/pdfs/GMD-1804-92.pdf#page=3","Abrir facsímil")</f>
        <v>Abrir facsímil</v>
      </c>
      <c r="K205" s="15" t="s">
        <v>22</v>
      </c>
    </row>
    <row r="206" spans="1:11" ht="42" customHeight="1">
      <c r="A206" s="4" t="s">
        <v>610</v>
      </c>
      <c r="B206" s="5" t="s">
        <v>611</v>
      </c>
      <c r="C206" s="5" t="s">
        <v>27</v>
      </c>
      <c r="D206" s="5" t="s">
        <v>28</v>
      </c>
      <c r="E206" s="5" t="s">
        <v>547</v>
      </c>
      <c r="F206" s="9">
        <v>68</v>
      </c>
      <c r="G206" s="9">
        <v>766</v>
      </c>
      <c r="H206" s="5" t="s">
        <v>20</v>
      </c>
      <c r="I206" s="5" t="s">
        <v>612</v>
      </c>
      <c r="J206" s="12" t="str">
        <f>HYPERLINK("https://www.boe.es/gazeta/dias/1804/08/24/pdfs/GMD-1804-68.pdf#page=12","Abrir facsímil")</f>
        <v>Abrir facsímil</v>
      </c>
      <c r="K206" s="15" t="s">
        <v>22</v>
      </c>
    </row>
    <row r="207" spans="1:11" ht="42" customHeight="1">
      <c r="A207" s="4" t="s">
        <v>613</v>
      </c>
      <c r="B207" s="5" t="s">
        <v>614</v>
      </c>
      <c r="C207" s="5" t="s">
        <v>17</v>
      </c>
      <c r="D207" s="5" t="s">
        <v>18</v>
      </c>
      <c r="E207" s="5" t="s">
        <v>71</v>
      </c>
      <c r="F207" s="9">
        <v>99</v>
      </c>
      <c r="G207" s="9">
        <v>1106</v>
      </c>
      <c r="H207" s="5" t="s">
        <v>20</v>
      </c>
      <c r="I207" s="5" t="s">
        <v>615</v>
      </c>
      <c r="J207" s="12" t="str">
        <f>HYPERLINK("https://www.boe.es/gazeta/dias/1804/12/11/pdfs/GMD-1804-99.pdf#page=6","Abrir facsímil")</f>
        <v>Abrir facsímil</v>
      </c>
      <c r="K207" s="15" t="s">
        <v>22</v>
      </c>
    </row>
    <row r="208" spans="1:11" ht="42" customHeight="1">
      <c r="A208" s="4" t="s">
        <v>616</v>
      </c>
      <c r="B208" s="5" t="s">
        <v>617</v>
      </c>
      <c r="C208" s="5" t="s">
        <v>198</v>
      </c>
      <c r="D208" s="5" t="s">
        <v>66</v>
      </c>
      <c r="E208" s="5" t="s">
        <v>81</v>
      </c>
      <c r="F208" s="9">
        <v>98</v>
      </c>
      <c r="G208" s="9">
        <v>1088</v>
      </c>
      <c r="H208" s="5" t="s">
        <v>20</v>
      </c>
      <c r="I208" s="5" t="s">
        <v>618</v>
      </c>
      <c r="J208" s="12" t="str">
        <f>HYPERLINK("https://www.boe.es/gazeta/dias/1804/12/07/pdfs/GMD-1804-98.pdf#page=4","Abrir facsímil")</f>
        <v>Abrir facsímil</v>
      </c>
      <c r="K208" s="15" t="s">
        <v>22</v>
      </c>
    </row>
    <row r="209" spans="1:11" ht="42" customHeight="1">
      <c r="A209" s="4" t="s">
        <v>619</v>
      </c>
      <c r="B209" s="5" t="s">
        <v>620</v>
      </c>
      <c r="C209" s="5" t="s">
        <v>65</v>
      </c>
      <c r="D209" s="5" t="s">
        <v>66</v>
      </c>
      <c r="E209" s="5" t="s">
        <v>178</v>
      </c>
      <c r="F209" s="9">
        <v>20</v>
      </c>
      <c r="G209" s="9">
        <v>220</v>
      </c>
      <c r="H209" s="5" t="s">
        <v>20</v>
      </c>
      <c r="I209" s="5" t="s">
        <v>621</v>
      </c>
      <c r="J209" s="12" t="str">
        <f>HYPERLINK("https://www.boe.es/gazeta/dias/1804/03/09/pdfs/GMD-1804-20.pdf#page=8","Abrir facsímil")</f>
        <v>Abrir facsímil</v>
      </c>
      <c r="K209" s="15" t="s">
        <v>22</v>
      </c>
    </row>
    <row r="210" spans="1:11" ht="42" customHeight="1">
      <c r="A210" s="4" t="s">
        <v>622</v>
      </c>
      <c r="B210" s="5" t="s">
        <v>622</v>
      </c>
      <c r="C210" s="5" t="s">
        <v>85</v>
      </c>
      <c r="D210" s="5" t="s">
        <v>86</v>
      </c>
      <c r="E210" s="5" t="s">
        <v>623</v>
      </c>
      <c r="F210" s="9">
        <v>51</v>
      </c>
      <c r="G210" s="9">
        <v>566</v>
      </c>
      <c r="H210" s="5" t="s">
        <v>20</v>
      </c>
      <c r="I210" s="5" t="s">
        <v>624</v>
      </c>
      <c r="J210" s="12" t="str">
        <f>HYPERLINK("https://www.boe.es/gazeta/dias/1804/06/26/pdfs/GMD-1804-51.pdf#page=12","Abrir facsímil")</f>
        <v>Abrir facsímil</v>
      </c>
      <c r="K210" s="15" t="s">
        <v>22</v>
      </c>
    </row>
    <row r="211" spans="1:11" ht="42" customHeight="1">
      <c r="A211" s="4" t="s">
        <v>625</v>
      </c>
      <c r="B211" s="5" t="s">
        <v>626</v>
      </c>
      <c r="C211" s="5" t="s">
        <v>27</v>
      </c>
      <c r="D211" s="5" t="s">
        <v>28</v>
      </c>
      <c r="E211" s="5" t="s">
        <v>54</v>
      </c>
      <c r="F211" s="9">
        <v>63</v>
      </c>
      <c r="G211" s="9">
        <v>700</v>
      </c>
      <c r="H211" s="5" t="s">
        <v>20</v>
      </c>
      <c r="I211" s="5" t="s">
        <v>627</v>
      </c>
      <c r="J211" s="12" t="str">
        <f>HYPERLINK("https://www.boe.es/gazeta/dias/1804/08/07/pdfs/GMD-1804-63.pdf#page=10","Abrir facsímil")</f>
        <v>Abrir facsímil</v>
      </c>
      <c r="K211" s="15" t="s">
        <v>22</v>
      </c>
    </row>
    <row r="212" spans="1:11" ht="42" customHeight="1">
      <c r="A212" s="4" t="s">
        <v>628</v>
      </c>
      <c r="B212" s="5" t="s">
        <v>629</v>
      </c>
      <c r="C212" s="5" t="s">
        <v>198</v>
      </c>
      <c r="D212" s="5" t="s">
        <v>66</v>
      </c>
      <c r="E212" s="5" t="s">
        <v>272</v>
      </c>
      <c r="F212" s="9">
        <v>30</v>
      </c>
      <c r="G212" s="9">
        <v>330</v>
      </c>
      <c r="H212" s="5" t="s">
        <v>20</v>
      </c>
      <c r="I212" s="5" t="s">
        <v>630</v>
      </c>
      <c r="J212" s="12" t="str">
        <f>HYPERLINK("https://www.boe.es/gazeta/dias/1804/04/13/pdfs/GMD-1804-30.pdf#page=8","Abrir facsímil")</f>
        <v>Abrir facsímil</v>
      </c>
      <c r="K212" s="15" t="s">
        <v>22</v>
      </c>
    </row>
    <row r="213" spans="1:11" ht="42" customHeight="1">
      <c r="A213" s="4" t="s">
        <v>628</v>
      </c>
      <c r="B213" s="5" t="s">
        <v>629</v>
      </c>
      <c r="C213" s="5" t="s">
        <v>198</v>
      </c>
      <c r="D213" s="5" t="s">
        <v>66</v>
      </c>
      <c r="E213" s="5" t="s">
        <v>547</v>
      </c>
      <c r="F213" s="9">
        <v>68</v>
      </c>
      <c r="G213" s="9">
        <v>764</v>
      </c>
      <c r="H213" s="5" t="s">
        <v>20</v>
      </c>
      <c r="I213" s="5" t="s">
        <v>631</v>
      </c>
      <c r="J213" s="12" t="str">
        <f>HYPERLINK("https://www.boe.es/gazeta/dias/1804/08/24/pdfs/GMD-1804-68.pdf#page=10","Abrir facsímil")</f>
        <v>Abrir facsímil</v>
      </c>
      <c r="K213" s="15" t="s">
        <v>22</v>
      </c>
    </row>
    <row r="214" spans="1:11" ht="42" customHeight="1">
      <c r="A214" s="4" t="s">
        <v>632</v>
      </c>
      <c r="B214" s="5" t="s">
        <v>633</v>
      </c>
      <c r="C214" s="5" t="s">
        <v>57</v>
      </c>
      <c r="D214" s="5" t="s">
        <v>58</v>
      </c>
      <c r="E214" s="5" t="s">
        <v>97</v>
      </c>
      <c r="F214" s="9">
        <v>50</v>
      </c>
      <c r="G214" s="9">
        <v>548</v>
      </c>
      <c r="H214" s="5" t="s">
        <v>20</v>
      </c>
      <c r="I214" s="5" t="s">
        <v>634</v>
      </c>
      <c r="J214" s="12" t="str">
        <f>HYPERLINK("https://www.boe.es/gazeta/dias/1804/06/22/pdfs/GMD-1804-50.pdf#page=2","Abrir facsímil")</f>
        <v>Abrir facsímil</v>
      </c>
      <c r="K214" s="15" t="s">
        <v>22</v>
      </c>
    </row>
    <row r="215" spans="1:11" ht="42" customHeight="1">
      <c r="A215" s="4" t="s">
        <v>635</v>
      </c>
      <c r="B215" s="5" t="s">
        <v>636</v>
      </c>
      <c r="C215" s="5" t="s">
        <v>27</v>
      </c>
      <c r="D215" s="5" t="s">
        <v>28</v>
      </c>
      <c r="E215" s="5" t="s">
        <v>637</v>
      </c>
      <c r="F215" s="9">
        <v>74</v>
      </c>
      <c r="G215" s="9">
        <v>826</v>
      </c>
      <c r="H215" s="5" t="s">
        <v>20</v>
      </c>
      <c r="I215" s="5" t="s">
        <v>638</v>
      </c>
      <c r="J215" s="12" t="str">
        <f>HYPERLINK("https://www.boe.es/gazeta/dias/1804/09/14/pdfs/GMD-1804-74.pdf#page=4","Abrir facsímil")</f>
        <v>Abrir facsímil</v>
      </c>
      <c r="K215" s="15" t="s">
        <v>22</v>
      </c>
    </row>
    <row r="216" spans="1:11" ht="42" customHeight="1">
      <c r="A216" s="4" t="s">
        <v>635</v>
      </c>
      <c r="B216" s="5" t="s">
        <v>636</v>
      </c>
      <c r="C216" s="5" t="s">
        <v>57</v>
      </c>
      <c r="D216" s="5" t="s">
        <v>58</v>
      </c>
      <c r="E216" s="5" t="s">
        <v>308</v>
      </c>
      <c r="F216" s="9">
        <v>96</v>
      </c>
      <c r="G216" s="9">
        <v>1064</v>
      </c>
      <c r="H216" s="5" t="s">
        <v>20</v>
      </c>
      <c r="I216" s="5" t="s">
        <v>639</v>
      </c>
      <c r="J216" s="12" t="str">
        <f>HYPERLINK("https://www.boe.es/gazeta/dias/1804/11/30/pdfs/GMD-1804-96.pdf#page=4","Abrir facsímil")</f>
        <v>Abrir facsímil</v>
      </c>
      <c r="K216" s="15" t="s">
        <v>22</v>
      </c>
    </row>
    <row r="217" spans="1:11" ht="42" customHeight="1">
      <c r="A217" s="4" t="s">
        <v>640</v>
      </c>
      <c r="B217" s="5" t="s">
        <v>641</v>
      </c>
      <c r="C217" s="5" t="s">
        <v>27</v>
      </c>
      <c r="D217" s="5" t="s">
        <v>28</v>
      </c>
      <c r="E217" s="5" t="s">
        <v>91</v>
      </c>
      <c r="F217" s="9">
        <v>72</v>
      </c>
      <c r="G217" s="9">
        <v>806</v>
      </c>
      <c r="H217" s="5" t="s">
        <v>20</v>
      </c>
      <c r="I217" s="5" t="s">
        <v>642</v>
      </c>
      <c r="J217" s="12" t="str">
        <f>HYPERLINK("https://www.boe.es/gazeta/dias/1804/09/07/pdfs/GMD-1804-72.pdf#page=8","Abrir facsímil")</f>
        <v>Abrir facsímil</v>
      </c>
      <c r="K217" s="15" t="s">
        <v>22</v>
      </c>
    </row>
    <row r="218" spans="1:11" ht="42" customHeight="1">
      <c r="A218" s="4" t="s">
        <v>643</v>
      </c>
      <c r="B218" s="5" t="s">
        <v>644</v>
      </c>
      <c r="C218" s="5" t="s">
        <v>85</v>
      </c>
      <c r="D218" s="5" t="s">
        <v>86</v>
      </c>
      <c r="E218" s="5" t="s">
        <v>576</v>
      </c>
      <c r="F218" s="9">
        <v>85</v>
      </c>
      <c r="G218" s="9">
        <v>941</v>
      </c>
      <c r="H218" s="5" t="s">
        <v>20</v>
      </c>
      <c r="I218" s="5" t="s">
        <v>645</v>
      </c>
      <c r="J218" s="12" t="str">
        <f>HYPERLINK("https://www.boe.es/gazeta/dias/1804/10/23/pdfs/GMD-1804-85.pdf#page=11","Abrir facsímil")</f>
        <v>Abrir facsímil</v>
      </c>
      <c r="K218" s="15" t="s">
        <v>22</v>
      </c>
    </row>
    <row r="219" spans="1:11" ht="42" customHeight="1">
      <c r="A219" s="4" t="s">
        <v>646</v>
      </c>
      <c r="B219" s="5" t="s">
        <v>647</v>
      </c>
      <c r="C219" s="5" t="s">
        <v>27</v>
      </c>
      <c r="D219" s="5" t="s">
        <v>28</v>
      </c>
      <c r="E219" s="5" t="s">
        <v>526</v>
      </c>
      <c r="F219" s="9">
        <v>95</v>
      </c>
      <c r="G219" s="9">
        <v>1056</v>
      </c>
      <c r="H219" s="5" t="s">
        <v>20</v>
      </c>
      <c r="I219" s="5" t="s">
        <v>648</v>
      </c>
      <c r="J219" s="12" t="str">
        <f>HYPERLINK("https://www.boe.es/gazeta/dias/1804/11/27/pdfs/GMD-1804-95.pdf#page=8","Abrir facsímil")</f>
        <v>Abrir facsímil</v>
      </c>
      <c r="K219" s="15" t="s">
        <v>22</v>
      </c>
    </row>
    <row r="220" spans="1:11" ht="42" customHeight="1">
      <c r="A220" s="4" t="s">
        <v>649</v>
      </c>
      <c r="B220" s="5" t="s">
        <v>650</v>
      </c>
      <c r="C220" s="5" t="s">
        <v>198</v>
      </c>
      <c r="D220" s="5" t="s">
        <v>66</v>
      </c>
      <c r="E220" s="5" t="s">
        <v>326</v>
      </c>
      <c r="F220" s="9">
        <v>69</v>
      </c>
      <c r="G220" s="9">
        <v>773</v>
      </c>
      <c r="H220" s="5" t="s">
        <v>20</v>
      </c>
      <c r="I220" s="5" t="s">
        <v>651</v>
      </c>
      <c r="J220" s="12" t="str">
        <f>HYPERLINK("https://www.boe.es/gazeta/dias/1804/08/28/pdfs/GMD-1804-69.pdf#page=7","Abrir facsímil")</f>
        <v>Abrir facsímil</v>
      </c>
      <c r="K220" s="15" t="s">
        <v>22</v>
      </c>
    </row>
    <row r="221" spans="1:11" ht="42" customHeight="1">
      <c r="A221" s="4" t="s">
        <v>652</v>
      </c>
      <c r="B221" s="5" t="s">
        <v>653</v>
      </c>
      <c r="C221" s="5" t="s">
        <v>27</v>
      </c>
      <c r="D221" s="5" t="s">
        <v>28</v>
      </c>
      <c r="E221" s="5" t="s">
        <v>77</v>
      </c>
      <c r="F221" s="9">
        <v>32</v>
      </c>
      <c r="G221" s="9">
        <v>356</v>
      </c>
      <c r="H221" s="5" t="s">
        <v>20</v>
      </c>
      <c r="I221" s="5" t="s">
        <v>654</v>
      </c>
      <c r="J221" s="12" t="str">
        <f>HYPERLINK("https://www.boe.es/gazeta/dias/1804/04/20/pdfs/GMD-1804-32.pdf#page=10","Abrir facsímil")</f>
        <v>Abrir facsímil</v>
      </c>
      <c r="K221" s="15" t="s">
        <v>22</v>
      </c>
    </row>
    <row r="222" spans="1:11" ht="42" customHeight="1">
      <c r="A222" s="4" t="s">
        <v>655</v>
      </c>
      <c r="B222" s="5" t="s">
        <v>656</v>
      </c>
      <c r="C222" s="5" t="s">
        <v>27</v>
      </c>
      <c r="D222" s="5" t="s">
        <v>28</v>
      </c>
      <c r="E222" s="5" t="s">
        <v>77</v>
      </c>
      <c r="F222" s="9">
        <v>32</v>
      </c>
      <c r="G222" s="9">
        <v>356</v>
      </c>
      <c r="H222" s="5" t="s">
        <v>20</v>
      </c>
      <c r="I222" s="5" t="s">
        <v>657</v>
      </c>
      <c r="J222" s="12" t="str">
        <f>HYPERLINK("https://www.boe.es/gazeta/dias/1804/04/20/pdfs/GMD-1804-32.pdf#page=10","Abrir facsímil")</f>
        <v>Abrir facsímil</v>
      </c>
      <c r="K222" s="15" t="s">
        <v>22</v>
      </c>
    </row>
    <row r="223" spans="1:11" ht="42" customHeight="1">
      <c r="A223" s="4" t="s">
        <v>658</v>
      </c>
      <c r="B223" s="5" t="s">
        <v>659</v>
      </c>
      <c r="C223" s="5" t="s">
        <v>27</v>
      </c>
      <c r="D223" s="5" t="s">
        <v>28</v>
      </c>
      <c r="E223" s="5" t="s">
        <v>245</v>
      </c>
      <c r="F223" s="9">
        <v>6</v>
      </c>
      <c r="G223" s="9">
        <v>58</v>
      </c>
      <c r="H223" s="5" t="s">
        <v>20</v>
      </c>
      <c r="I223" s="5" t="s">
        <v>660</v>
      </c>
      <c r="J223" s="12" t="str">
        <f>HYPERLINK("https://www.boe.es/gazeta/dias/1804/01/20/pdfs/GMD-1804-6.pdf#page=10","Abrir facsímil")</f>
        <v>Abrir facsímil</v>
      </c>
      <c r="K223" s="15" t="s">
        <v>22</v>
      </c>
    </row>
    <row r="224" spans="1:11" ht="42" customHeight="1">
      <c r="A224" s="4" t="s">
        <v>661</v>
      </c>
      <c r="B224" s="5" t="s">
        <v>662</v>
      </c>
      <c r="C224" s="5" t="s">
        <v>17</v>
      </c>
      <c r="D224" s="5" t="s">
        <v>18</v>
      </c>
      <c r="E224" s="5" t="s">
        <v>87</v>
      </c>
      <c r="F224" s="9">
        <v>9</v>
      </c>
      <c r="G224" s="9">
        <v>98</v>
      </c>
      <c r="H224" s="5" t="s">
        <v>20</v>
      </c>
      <c r="I224" s="5" t="s">
        <v>663</v>
      </c>
      <c r="J224" s="12" t="str">
        <f>HYPERLINK("https://www.boe.es/gazeta/dias/1804/01/31/pdfs/GMD-1804-9.pdf#page=10","Abrir facsímil")</f>
        <v>Abrir facsímil</v>
      </c>
      <c r="K224" s="15" t="s">
        <v>22</v>
      </c>
    </row>
    <row r="225" spans="1:11" ht="42" customHeight="1">
      <c r="A225" s="4" t="s">
        <v>664</v>
      </c>
      <c r="B225" s="5" t="s">
        <v>665</v>
      </c>
      <c r="C225" s="5" t="s">
        <v>27</v>
      </c>
      <c r="D225" s="5" t="s">
        <v>28</v>
      </c>
      <c r="E225" s="5" t="s">
        <v>666</v>
      </c>
      <c r="F225" s="9">
        <v>57</v>
      </c>
      <c r="G225" s="9">
        <v>632</v>
      </c>
      <c r="H225" s="5" t="s">
        <v>20</v>
      </c>
      <c r="I225" s="5" t="s">
        <v>667</v>
      </c>
      <c r="J225" s="12" t="str">
        <f>HYPERLINK("https://www.boe.es/gazeta/dias/1804/07/17/pdfs/GMD-1804-57.pdf#page=10","Abrir facsímil")</f>
        <v>Abrir facsímil</v>
      </c>
      <c r="K225" s="15" t="s">
        <v>22</v>
      </c>
    </row>
    <row r="226" spans="1:11" ht="42" customHeight="1">
      <c r="A226" s="4" t="s">
        <v>668</v>
      </c>
      <c r="B226" s="5" t="s">
        <v>669</v>
      </c>
      <c r="C226" s="5" t="s">
        <v>85</v>
      </c>
      <c r="D226" s="5" t="s">
        <v>86</v>
      </c>
      <c r="E226" s="5" t="s">
        <v>670</v>
      </c>
      <c r="F226" s="9">
        <v>41</v>
      </c>
      <c r="G226" s="9">
        <v>462</v>
      </c>
      <c r="H226" s="5" t="s">
        <v>20</v>
      </c>
      <c r="I226" s="5" t="s">
        <v>671</v>
      </c>
      <c r="J226" s="12" t="str">
        <f>HYPERLINK("https://www.boe.es/gazeta/dias/1804/05/22/pdfs/GMD-1804-41.pdf#page=12","Abrir facsímil")</f>
        <v>Abrir facsímil</v>
      </c>
      <c r="K226" s="15" t="s">
        <v>22</v>
      </c>
    </row>
    <row r="227" spans="1:11" ht="42" customHeight="1">
      <c r="A227" s="4" t="s">
        <v>672</v>
      </c>
      <c r="B227" s="5" t="s">
        <v>672</v>
      </c>
      <c r="C227" s="5" t="s">
        <v>27</v>
      </c>
      <c r="D227" s="5" t="s">
        <v>28</v>
      </c>
      <c r="E227" s="5" t="s">
        <v>666</v>
      </c>
      <c r="F227" s="9">
        <v>57</v>
      </c>
      <c r="G227" s="9">
        <v>626</v>
      </c>
      <c r="H227" s="5" t="s">
        <v>20</v>
      </c>
      <c r="I227" s="5" t="s">
        <v>673</v>
      </c>
      <c r="J227" s="12" t="str">
        <f>HYPERLINK("https://www.boe.es/gazeta/dias/1804/07/17/pdfs/GMD-1804-57.pdf#page=4","Abrir facsímil")</f>
        <v>Abrir facsímil</v>
      </c>
      <c r="K227" s="15" t="s">
        <v>22</v>
      </c>
    </row>
    <row r="228" spans="1:11" ht="42" customHeight="1">
      <c r="A228" s="4" t="s">
        <v>674</v>
      </c>
      <c r="B228" s="5" t="s">
        <v>674</v>
      </c>
      <c r="C228" s="5" t="s">
        <v>57</v>
      </c>
      <c r="D228" s="5" t="s">
        <v>58</v>
      </c>
      <c r="E228" s="5" t="s">
        <v>587</v>
      </c>
      <c r="F228" s="9">
        <v>62</v>
      </c>
      <c r="G228" s="9">
        <v>682</v>
      </c>
      <c r="H228" s="5" t="s">
        <v>20</v>
      </c>
      <c r="I228" s="5" t="s">
        <v>675</v>
      </c>
      <c r="J228" s="12" t="str">
        <f>HYPERLINK("https://www.boe.es/gazeta/dias/1804/08/03/pdfs/GMD-1804-62.pdf#page=4","Abrir facsímil")</f>
        <v>Abrir facsímil</v>
      </c>
      <c r="K228" s="15" t="s">
        <v>22</v>
      </c>
    </row>
    <row r="229" spans="1:11" ht="42" customHeight="1">
      <c r="A229" s="4" t="s">
        <v>676</v>
      </c>
      <c r="B229" s="5" t="s">
        <v>677</v>
      </c>
      <c r="C229" s="5" t="s">
        <v>17</v>
      </c>
      <c r="D229" s="5" t="s">
        <v>18</v>
      </c>
      <c r="E229" s="5" t="s">
        <v>678</v>
      </c>
      <c r="F229" s="9">
        <v>104</v>
      </c>
      <c r="G229" s="9">
        <v>1163</v>
      </c>
      <c r="H229" s="5" t="s">
        <v>20</v>
      </c>
      <c r="I229" s="5" t="s">
        <v>679</v>
      </c>
      <c r="J229" s="12" t="str">
        <f>HYPERLINK("https://www.boe.es/gazeta/dias/1804/12/28/pdfs/GMD-1804-104.pdf#page=11","Abrir facsímil")</f>
        <v>Abrir facsímil</v>
      </c>
      <c r="K229" s="15" t="s">
        <v>22</v>
      </c>
    </row>
    <row r="230" spans="1:11" ht="42" customHeight="1">
      <c r="A230" s="4" t="s">
        <v>680</v>
      </c>
      <c r="B230" s="5" t="s">
        <v>681</v>
      </c>
      <c r="C230" s="5" t="s">
        <v>57</v>
      </c>
      <c r="D230" s="5" t="s">
        <v>58</v>
      </c>
      <c r="E230" s="5" t="s">
        <v>136</v>
      </c>
      <c r="F230" s="9">
        <v>23</v>
      </c>
      <c r="G230" s="9">
        <v>260</v>
      </c>
      <c r="H230" s="5" t="s">
        <v>20</v>
      </c>
      <c r="I230" s="5" t="s">
        <v>682</v>
      </c>
      <c r="J230" s="12" t="str">
        <f>HYPERLINK("https://www.boe.es/gazeta/dias/1804/03/20/pdfs/GMD-1804-23.pdf#page=6","Abrir facsímil")</f>
        <v>Abrir facsímil</v>
      </c>
      <c r="K230" s="15" t="s">
        <v>22</v>
      </c>
    </row>
    <row r="231" spans="1:11" ht="42" customHeight="1">
      <c r="A231" s="4" t="s">
        <v>683</v>
      </c>
      <c r="B231" s="5" t="s">
        <v>684</v>
      </c>
      <c r="C231" s="5" t="s">
        <v>57</v>
      </c>
      <c r="D231" s="5" t="s">
        <v>58</v>
      </c>
      <c r="E231" s="5" t="s">
        <v>587</v>
      </c>
      <c r="F231" s="9">
        <v>62</v>
      </c>
      <c r="G231" s="9">
        <v>685</v>
      </c>
      <c r="H231" s="5" t="s">
        <v>20</v>
      </c>
      <c r="I231" s="5" t="s">
        <v>685</v>
      </c>
      <c r="J231" s="12" t="str">
        <f>HYPERLINK("https://www.boe.es/gazeta/dias/1804/08/03/pdfs/GMD-1804-62.pdf#page=7","Abrir facsímil")</f>
        <v>Abrir facsímil</v>
      </c>
      <c r="K231" s="15" t="s">
        <v>22</v>
      </c>
    </row>
    <row r="232" spans="1:11" ht="42" customHeight="1">
      <c r="A232" s="4" t="s">
        <v>683</v>
      </c>
      <c r="B232" s="5" t="s">
        <v>684</v>
      </c>
      <c r="C232" s="5" t="s">
        <v>57</v>
      </c>
      <c r="D232" s="5" t="s">
        <v>58</v>
      </c>
      <c r="E232" s="5" t="s">
        <v>587</v>
      </c>
      <c r="F232" s="9">
        <v>62</v>
      </c>
      <c r="G232" s="9">
        <v>686</v>
      </c>
      <c r="H232" s="5" t="s">
        <v>20</v>
      </c>
      <c r="I232" s="5" t="s">
        <v>686</v>
      </c>
      <c r="J232" s="12" t="str">
        <f>HYPERLINK("https://www.boe.es/gazeta/dias/1804/08/03/pdfs/GMD-1804-62.pdf#page=8","Abrir facsímil")</f>
        <v>Abrir facsímil</v>
      </c>
      <c r="K232" s="15" t="s">
        <v>22</v>
      </c>
    </row>
    <row r="233" spans="1:11" ht="42" customHeight="1">
      <c r="A233" s="4" t="s">
        <v>683</v>
      </c>
      <c r="B233" s="5" t="s">
        <v>684</v>
      </c>
      <c r="C233" s="5" t="s">
        <v>17</v>
      </c>
      <c r="D233" s="5" t="s">
        <v>18</v>
      </c>
      <c r="E233" s="5" t="s">
        <v>47</v>
      </c>
      <c r="F233" s="9">
        <v>78</v>
      </c>
      <c r="G233" s="9">
        <v>867</v>
      </c>
      <c r="H233" s="5" t="s">
        <v>20</v>
      </c>
      <c r="I233" s="5" t="s">
        <v>687</v>
      </c>
      <c r="J233" s="12" t="str">
        <f>HYPERLINK("https://www.boe.es/gazeta/dias/1804/09/28/pdfs/GMD-1804-78.pdf#page=5","Abrir facsímil")</f>
        <v>Abrir facsímil</v>
      </c>
      <c r="K233" s="15" t="s">
        <v>22</v>
      </c>
    </row>
    <row r="234" spans="1:11" ht="42" customHeight="1">
      <c r="A234" s="4" t="s">
        <v>680</v>
      </c>
      <c r="B234" s="5" t="s">
        <v>681</v>
      </c>
      <c r="C234" s="5" t="s">
        <v>17</v>
      </c>
      <c r="D234" s="5" t="s">
        <v>18</v>
      </c>
      <c r="E234" s="5" t="s">
        <v>339</v>
      </c>
      <c r="F234" s="9">
        <v>94</v>
      </c>
      <c r="G234" s="9">
        <v>1037</v>
      </c>
      <c r="H234" s="5" t="s">
        <v>20</v>
      </c>
      <c r="I234" s="5" t="s">
        <v>688</v>
      </c>
      <c r="J234" s="12" t="str">
        <f>HYPERLINK("https://www.boe.es/gazeta/dias/1804/11/23/pdfs/GMD-1804-94.pdf#page=5","Abrir facsímil")</f>
        <v>Abrir facsímil</v>
      </c>
      <c r="K234" s="15" t="s">
        <v>22</v>
      </c>
    </row>
    <row r="235" spans="1:11" ht="42" customHeight="1">
      <c r="A235" s="4" t="s">
        <v>680</v>
      </c>
      <c r="B235" s="5" t="s">
        <v>681</v>
      </c>
      <c r="C235" s="5" t="s">
        <v>17</v>
      </c>
      <c r="D235" s="5" t="s">
        <v>18</v>
      </c>
      <c r="E235" s="5" t="s">
        <v>191</v>
      </c>
      <c r="F235" s="9">
        <v>101</v>
      </c>
      <c r="G235" s="9">
        <v>1127</v>
      </c>
      <c r="H235" s="5" t="s">
        <v>20</v>
      </c>
      <c r="I235" s="5" t="s">
        <v>689</v>
      </c>
      <c r="J235" s="12" t="str">
        <f>HYPERLINK("https://www.boe.es/gazeta/dias/1804/12/18/pdfs/GMD-1804-101.pdf#page=7","Abrir facsímil")</f>
        <v>Abrir facsímil</v>
      </c>
      <c r="K235" s="15" t="s">
        <v>22</v>
      </c>
    </row>
    <row r="236" spans="1:11" ht="42" customHeight="1">
      <c r="A236" s="4" t="s">
        <v>690</v>
      </c>
      <c r="B236" s="5" t="s">
        <v>691</v>
      </c>
      <c r="C236" s="5" t="s">
        <v>85</v>
      </c>
      <c r="D236" s="5" t="s">
        <v>86</v>
      </c>
      <c r="E236" s="5" t="s">
        <v>427</v>
      </c>
      <c r="F236" s="9">
        <v>80</v>
      </c>
      <c r="G236" s="9">
        <v>889</v>
      </c>
      <c r="H236" s="5" t="s">
        <v>20</v>
      </c>
      <c r="I236" s="5" t="s">
        <v>692</v>
      </c>
      <c r="J236" s="12" t="str">
        <f>HYPERLINK("https://www.boe.es/gazeta/dias/1804/10/05/pdfs/GMD-1804-80.pdf#page=7","Abrir facsímil")</f>
        <v>Abrir facsímil</v>
      </c>
      <c r="K236" s="15" t="s">
        <v>22</v>
      </c>
    </row>
    <row r="237" spans="1:11" ht="42" customHeight="1">
      <c r="A237" s="4" t="s">
        <v>693</v>
      </c>
      <c r="B237" s="5" t="s">
        <v>694</v>
      </c>
      <c r="C237" s="5" t="s">
        <v>85</v>
      </c>
      <c r="D237" s="5" t="s">
        <v>86</v>
      </c>
      <c r="E237" s="5" t="s">
        <v>354</v>
      </c>
      <c r="F237" s="9">
        <v>1</v>
      </c>
      <c r="G237" s="9">
        <v>6</v>
      </c>
      <c r="H237" s="5" t="s">
        <v>20</v>
      </c>
      <c r="I237" s="5" t="s">
        <v>695</v>
      </c>
      <c r="J237" s="12" t="str">
        <f>HYPERLINK("https://www.boe.es/gazeta/dias/1804/01/03/pdfs/GMD-1804-1.pdf#page=6","Abrir facsímil")</f>
        <v>Abrir facsímil</v>
      </c>
      <c r="K237" s="15" t="s">
        <v>22</v>
      </c>
    </row>
    <row r="238" spans="1:11" ht="42" customHeight="1">
      <c r="A238" s="4" t="s">
        <v>693</v>
      </c>
      <c r="B238" s="5" t="s">
        <v>694</v>
      </c>
      <c r="C238" s="5" t="s">
        <v>27</v>
      </c>
      <c r="D238" s="5" t="s">
        <v>28</v>
      </c>
      <c r="E238" s="5" t="s">
        <v>398</v>
      </c>
      <c r="F238" s="9">
        <v>22</v>
      </c>
      <c r="G238" s="9">
        <v>240</v>
      </c>
      <c r="H238" s="5" t="s">
        <v>20</v>
      </c>
      <c r="I238" s="5" t="s">
        <v>696</v>
      </c>
      <c r="J238" s="12" t="str">
        <f>HYPERLINK("https://www.boe.es/gazeta/dias/1804/03/16/pdfs/GMD-1804-22.pdf#page=4","Abrir facsímil")</f>
        <v>Abrir facsímil</v>
      </c>
      <c r="K238" s="15" t="s">
        <v>22</v>
      </c>
    </row>
    <row r="239" spans="1:11" ht="42" customHeight="1">
      <c r="A239" s="4" t="s">
        <v>693</v>
      </c>
      <c r="B239" s="5" t="s">
        <v>694</v>
      </c>
      <c r="C239" s="5" t="s">
        <v>85</v>
      </c>
      <c r="D239" s="5" t="s">
        <v>86</v>
      </c>
      <c r="E239" s="5" t="s">
        <v>172</v>
      </c>
      <c r="F239" s="9">
        <v>38</v>
      </c>
      <c r="G239" s="9">
        <v>426</v>
      </c>
      <c r="H239" s="5" t="s">
        <v>20</v>
      </c>
      <c r="I239" s="5" t="s">
        <v>697</v>
      </c>
      <c r="J239" s="12" t="str">
        <f>HYPERLINK("https://www.boe.es/gazeta/dias/1804/05/11/pdfs/GMD-1804-38.pdf#page=12","Abrir facsímil")</f>
        <v>Abrir facsímil</v>
      </c>
      <c r="K239" s="15" t="s">
        <v>22</v>
      </c>
    </row>
    <row r="240" spans="1:11" ht="42" customHeight="1">
      <c r="A240" s="4" t="s">
        <v>698</v>
      </c>
      <c r="B240" s="5" t="s">
        <v>698</v>
      </c>
      <c r="C240" s="5" t="s">
        <v>27</v>
      </c>
      <c r="D240" s="5" t="s">
        <v>28</v>
      </c>
      <c r="E240" s="5" t="s">
        <v>699</v>
      </c>
      <c r="F240" s="9">
        <v>2</v>
      </c>
      <c r="G240" s="9">
        <v>18</v>
      </c>
      <c r="H240" s="5" t="s">
        <v>20</v>
      </c>
      <c r="I240" s="5" t="s">
        <v>700</v>
      </c>
      <c r="J240" s="12" t="str">
        <f>HYPERLINK("https://www.boe.es/gazeta/dias/1804/01/06/pdfs/GMD-1804-2.pdf#page=6","Abrir facsímil")</f>
        <v>Abrir facsímil</v>
      </c>
      <c r="K240" s="15" t="s">
        <v>22</v>
      </c>
    </row>
    <row r="241" spans="1:11" ht="42" customHeight="1">
      <c r="A241" s="4" t="s">
        <v>701</v>
      </c>
      <c r="B241" s="5" t="s">
        <v>701</v>
      </c>
      <c r="C241" s="5" t="s">
        <v>85</v>
      </c>
      <c r="D241" s="5" t="s">
        <v>86</v>
      </c>
      <c r="E241" s="5" t="s">
        <v>241</v>
      </c>
      <c r="F241" s="9">
        <v>71</v>
      </c>
      <c r="G241" s="9">
        <v>794</v>
      </c>
      <c r="H241" s="5" t="s">
        <v>20</v>
      </c>
      <c r="I241" s="5" t="s">
        <v>702</v>
      </c>
      <c r="J241" s="12" t="str">
        <f>HYPERLINK("https://www.boe.es/gazeta/dias/1804/09/04/pdfs/GMD-1804-71.pdf#page=8","Abrir facsímil")</f>
        <v>Abrir facsímil</v>
      </c>
      <c r="K241" s="15" t="s">
        <v>22</v>
      </c>
    </row>
    <row r="242" spans="1:11" ht="42" customHeight="1">
      <c r="A242" s="4" t="s">
        <v>703</v>
      </c>
      <c r="B242" s="5" t="s">
        <v>703</v>
      </c>
      <c r="C242" s="5" t="s">
        <v>85</v>
      </c>
      <c r="D242" s="5" t="s">
        <v>86</v>
      </c>
      <c r="E242" s="5" t="s">
        <v>704</v>
      </c>
      <c r="F242" s="9">
        <v>36</v>
      </c>
      <c r="G242" s="9">
        <v>402</v>
      </c>
      <c r="H242" s="5" t="s">
        <v>20</v>
      </c>
      <c r="I242" s="5" t="s">
        <v>705</v>
      </c>
      <c r="J242" s="12" t="str">
        <f>HYPERLINK("https://www.boe.es/gazeta/dias/1804/05/04/pdfs/GMD-1804-36.pdf#page=12","Abrir facsímil")</f>
        <v>Abrir facsímil</v>
      </c>
      <c r="K242" s="15" t="s">
        <v>22</v>
      </c>
    </row>
    <row r="243" spans="1:11" ht="42" customHeight="1">
      <c r="A243" s="4" t="s">
        <v>706</v>
      </c>
      <c r="B243" s="5" t="s">
        <v>706</v>
      </c>
      <c r="C243" s="5" t="s">
        <v>85</v>
      </c>
      <c r="D243" s="5" t="s">
        <v>86</v>
      </c>
      <c r="E243" s="5" t="s">
        <v>637</v>
      </c>
      <c r="F243" s="9">
        <v>74</v>
      </c>
      <c r="G243" s="9">
        <v>834</v>
      </c>
      <c r="H243" s="5" t="s">
        <v>20</v>
      </c>
      <c r="I243" s="5" t="s">
        <v>707</v>
      </c>
      <c r="J243" s="12" t="str">
        <f>HYPERLINK("https://www.boe.es/gazeta/dias/1804/09/14/pdfs/GMD-1804-74.pdf#page=12","Abrir facsímil")</f>
        <v>Abrir facsímil</v>
      </c>
      <c r="K243" s="15" t="s">
        <v>22</v>
      </c>
    </row>
    <row r="244" spans="1:11" ht="42" customHeight="1">
      <c r="A244" s="4" t="s">
        <v>708</v>
      </c>
      <c r="B244" s="5" t="s">
        <v>708</v>
      </c>
      <c r="C244" s="5" t="s">
        <v>17</v>
      </c>
      <c r="D244" s="5" t="s">
        <v>18</v>
      </c>
      <c r="E244" s="5" t="s">
        <v>709</v>
      </c>
      <c r="F244" s="9">
        <v>82</v>
      </c>
      <c r="G244" s="9">
        <v>906</v>
      </c>
      <c r="H244" s="5" t="s">
        <v>20</v>
      </c>
      <c r="I244" s="5" t="s">
        <v>710</v>
      </c>
      <c r="J244" s="12" t="str">
        <f>HYPERLINK("https://www.boe.es/gazeta/dias/1804/10/12/pdfs/GMD-1804-82.pdf#page=8","Abrir facsímil")</f>
        <v>Abrir facsímil</v>
      </c>
      <c r="K244" s="15" t="s">
        <v>22</v>
      </c>
    </row>
    <row r="245" spans="1:11" ht="42" customHeight="1">
      <c r="A245" s="4" t="s">
        <v>711</v>
      </c>
      <c r="B245" s="5" t="s">
        <v>712</v>
      </c>
      <c r="C245" s="5" t="s">
        <v>65</v>
      </c>
      <c r="D245" s="5" t="s">
        <v>66</v>
      </c>
      <c r="E245" s="5" t="s">
        <v>317</v>
      </c>
      <c r="F245" s="9">
        <v>56</v>
      </c>
      <c r="G245" s="9">
        <v>615</v>
      </c>
      <c r="H245" s="5" t="s">
        <v>20</v>
      </c>
      <c r="I245" s="5" t="s">
        <v>713</v>
      </c>
      <c r="J245" s="12" t="str">
        <f>HYPERLINK("https://www.boe.es/gazeta/dias/1804/07/13/pdfs/GMD-1804-56.pdf#page=1","Abrir facsímil")</f>
        <v>Abrir facsímil</v>
      </c>
      <c r="K245" s="15" t="s">
        <v>22</v>
      </c>
    </row>
    <row r="246" spans="1:11" ht="42" customHeight="1">
      <c r="A246" s="4" t="s">
        <v>714</v>
      </c>
      <c r="B246" s="5" t="s">
        <v>715</v>
      </c>
      <c r="C246" s="5" t="s">
        <v>27</v>
      </c>
      <c r="D246" s="5" t="s">
        <v>28</v>
      </c>
      <c r="E246" s="5" t="s">
        <v>367</v>
      </c>
      <c r="F246" s="9">
        <v>64</v>
      </c>
      <c r="G246" s="9">
        <v>708</v>
      </c>
      <c r="H246" s="5" t="s">
        <v>20</v>
      </c>
      <c r="I246" s="5" t="s">
        <v>716</v>
      </c>
      <c r="J246" s="12" t="str">
        <f>HYPERLINK("https://www.boe.es/gazeta/dias/1804/08/10/pdfs/GMD-1804-64.pdf#page=2","Abrir facsímil")</f>
        <v>Abrir facsímil</v>
      </c>
      <c r="K246" s="15" t="s">
        <v>22</v>
      </c>
    </row>
    <row r="247" spans="1:11" ht="42" customHeight="1">
      <c r="A247" s="4" t="s">
        <v>717</v>
      </c>
      <c r="B247" s="5" t="s">
        <v>717</v>
      </c>
      <c r="C247" s="5" t="s">
        <v>85</v>
      </c>
      <c r="D247" s="5" t="s">
        <v>86</v>
      </c>
      <c r="E247" s="5" t="s">
        <v>360</v>
      </c>
      <c r="F247" s="9">
        <v>81</v>
      </c>
      <c r="G247" s="9">
        <v>898</v>
      </c>
      <c r="H247" s="5" t="s">
        <v>20</v>
      </c>
      <c r="I247" s="5" t="s">
        <v>718</v>
      </c>
      <c r="J247" s="12" t="str">
        <f>HYPERLINK("https://www.boe.es/gazeta/dias/1804/10/09/pdfs/GMD-1804-81.pdf#page=8","Abrir facsímil")</f>
        <v>Abrir facsímil</v>
      </c>
      <c r="K247" s="15" t="s">
        <v>22</v>
      </c>
    </row>
    <row r="248" spans="1:11" ht="42" customHeight="1">
      <c r="A248" s="4" t="s">
        <v>719</v>
      </c>
      <c r="B248" s="5" t="s">
        <v>720</v>
      </c>
      <c r="C248" s="5" t="s">
        <v>27</v>
      </c>
      <c r="D248" s="5" t="s">
        <v>28</v>
      </c>
      <c r="E248" s="5" t="s">
        <v>147</v>
      </c>
      <c r="F248" s="9">
        <v>77</v>
      </c>
      <c r="G248" s="9">
        <v>851</v>
      </c>
      <c r="H248" s="5" t="s">
        <v>20</v>
      </c>
      <c r="I248" s="5" t="s">
        <v>721</v>
      </c>
      <c r="J248" s="12" t="str">
        <f>HYPERLINK("https://www.boe.es/gazeta/dias/1804/09/25/pdfs/GMD-1804-77.pdf#page=1","Abrir facsímil")</f>
        <v>Abrir facsímil</v>
      </c>
      <c r="K248" s="15" t="s">
        <v>22</v>
      </c>
    </row>
    <row r="249" spans="1:11" ht="42" customHeight="1">
      <c r="A249" s="4" t="s">
        <v>722</v>
      </c>
      <c r="B249" s="5" t="s">
        <v>723</v>
      </c>
      <c r="C249" s="5" t="s">
        <v>17</v>
      </c>
      <c r="D249" s="5" t="s">
        <v>18</v>
      </c>
      <c r="E249" s="5" t="s">
        <v>71</v>
      </c>
      <c r="F249" s="9">
        <v>99</v>
      </c>
      <c r="G249" s="9">
        <v>1107</v>
      </c>
      <c r="H249" s="5" t="s">
        <v>20</v>
      </c>
      <c r="I249" s="5" t="s">
        <v>724</v>
      </c>
      <c r="J249" s="12" t="str">
        <f>HYPERLINK("https://www.boe.es/gazeta/dias/1804/12/11/pdfs/GMD-1804-99.pdf#page=7","Abrir facsímil")</f>
        <v>Abrir facsímil</v>
      </c>
      <c r="K249" s="15" t="s">
        <v>22</v>
      </c>
    </row>
    <row r="250" spans="1:11" ht="42" customHeight="1">
      <c r="A250" s="4" t="s">
        <v>725</v>
      </c>
      <c r="B250" s="5" t="s">
        <v>726</v>
      </c>
      <c r="C250" s="5" t="s">
        <v>57</v>
      </c>
      <c r="D250" s="5" t="s">
        <v>58</v>
      </c>
      <c r="E250" s="5" t="s">
        <v>678</v>
      </c>
      <c r="F250" s="9">
        <v>104</v>
      </c>
      <c r="G250" s="9">
        <v>1157</v>
      </c>
      <c r="H250" s="5" t="s">
        <v>20</v>
      </c>
      <c r="I250" s="5" t="s">
        <v>727</v>
      </c>
      <c r="J250" s="12" t="str">
        <f>HYPERLINK("https://www.boe.es/gazeta/dias/1804/12/28/pdfs/GMD-1804-104.pdf#page=5","Abrir facsímil")</f>
        <v>Abrir facsímil</v>
      </c>
      <c r="K250" s="15" t="s">
        <v>22</v>
      </c>
    </row>
    <row r="251" spans="1:11" ht="42" customHeight="1">
      <c r="A251" s="4" t="s">
        <v>728</v>
      </c>
      <c r="B251" s="5" t="s">
        <v>729</v>
      </c>
      <c r="C251" s="5" t="s">
        <v>27</v>
      </c>
      <c r="D251" s="5" t="s">
        <v>28</v>
      </c>
      <c r="E251" s="5" t="s">
        <v>360</v>
      </c>
      <c r="F251" s="9">
        <v>81</v>
      </c>
      <c r="G251" s="9">
        <v>896</v>
      </c>
      <c r="H251" s="5" t="s">
        <v>20</v>
      </c>
      <c r="I251" s="5" t="s">
        <v>730</v>
      </c>
      <c r="J251" s="12" t="str">
        <f>HYPERLINK("https://www.boe.es/gazeta/dias/1804/10/09/pdfs/GMD-1804-81.pdf#page=6","Abrir facsímil")</f>
        <v>Abrir facsímil</v>
      </c>
      <c r="K251" s="15" t="s">
        <v>22</v>
      </c>
    </row>
    <row r="252" spans="1:11" ht="42" customHeight="1">
      <c r="A252" s="4" t="s">
        <v>731</v>
      </c>
      <c r="B252" s="5" t="s">
        <v>732</v>
      </c>
      <c r="C252" s="5" t="s">
        <v>27</v>
      </c>
      <c r="D252" s="5" t="s">
        <v>28</v>
      </c>
      <c r="E252" s="5" t="s">
        <v>538</v>
      </c>
      <c r="F252" s="9">
        <v>27</v>
      </c>
      <c r="G252" s="9">
        <v>300</v>
      </c>
      <c r="H252" s="5" t="s">
        <v>20</v>
      </c>
      <c r="I252" s="5" t="s">
        <v>733</v>
      </c>
      <c r="J252" s="12" t="str">
        <f>HYPERLINK("https://www.boe.es/gazeta/dias/1804/04/03/pdfs/GMD-1804-27.pdf#page=6","Abrir facsímil")</f>
        <v>Abrir facsímil</v>
      </c>
      <c r="K252" s="15" t="s">
        <v>22</v>
      </c>
    </row>
    <row r="253" spans="1:11" ht="42" customHeight="1">
      <c r="A253" s="4" t="s">
        <v>734</v>
      </c>
      <c r="B253" s="5" t="s">
        <v>735</v>
      </c>
      <c r="C253" s="5" t="s">
        <v>27</v>
      </c>
      <c r="D253" s="5" t="s">
        <v>28</v>
      </c>
      <c r="E253" s="5" t="s">
        <v>736</v>
      </c>
      <c r="F253" s="9">
        <v>83</v>
      </c>
      <c r="G253" s="9">
        <v>919</v>
      </c>
      <c r="H253" s="5" t="s">
        <v>20</v>
      </c>
      <c r="I253" s="5" t="s">
        <v>737</v>
      </c>
      <c r="J253" s="12" t="str">
        <f>HYPERLINK("https://www.boe.es/gazeta/dias/1804/10/16/pdfs/GMD-1804-83.pdf#page=9","Abrir facsímil")</f>
        <v>Abrir facsímil</v>
      </c>
      <c r="K253" s="15" t="s">
        <v>22</v>
      </c>
    </row>
    <row r="254" spans="1:11" ht="42" customHeight="1">
      <c r="A254" s="4" t="s">
        <v>738</v>
      </c>
      <c r="B254" s="5" t="s">
        <v>739</v>
      </c>
      <c r="C254" s="5" t="s">
        <v>65</v>
      </c>
      <c r="D254" s="5" t="s">
        <v>66</v>
      </c>
      <c r="E254" s="5" t="s">
        <v>191</v>
      </c>
      <c r="F254" s="9">
        <v>101</v>
      </c>
      <c r="G254" s="9">
        <v>1128</v>
      </c>
      <c r="H254" s="5" t="s">
        <v>20</v>
      </c>
      <c r="I254" s="5" t="s">
        <v>740</v>
      </c>
      <c r="J254" s="12" t="str">
        <f>HYPERLINK("https://www.boe.es/gazeta/dias/1804/12/18/pdfs/GMD-1804-101.pdf#page=8","Abrir facsímil")</f>
        <v>Abrir facsímil</v>
      </c>
      <c r="K254" s="15" t="s">
        <v>22</v>
      </c>
    </row>
    <row r="255" spans="1:11" ht="42" customHeight="1">
      <c r="A255" s="4" t="s">
        <v>741</v>
      </c>
      <c r="B255" s="5" t="s">
        <v>742</v>
      </c>
      <c r="C255" s="5" t="s">
        <v>27</v>
      </c>
      <c r="D255" s="5" t="s">
        <v>28</v>
      </c>
      <c r="E255" s="5" t="s">
        <v>191</v>
      </c>
      <c r="F255" s="9">
        <v>101</v>
      </c>
      <c r="G255" s="9">
        <v>1128</v>
      </c>
      <c r="H255" s="5" t="s">
        <v>20</v>
      </c>
      <c r="I255" s="5" t="s">
        <v>743</v>
      </c>
      <c r="J255" s="12" t="str">
        <f>HYPERLINK("https://www.boe.es/gazeta/dias/1804/12/18/pdfs/GMD-1804-101.pdf#page=8","Abrir facsímil")</f>
        <v>Abrir facsímil</v>
      </c>
      <c r="K255" s="15" t="s">
        <v>22</v>
      </c>
    </row>
    <row r="256" spans="1:11" ht="42" customHeight="1">
      <c r="A256" s="4" t="s">
        <v>744</v>
      </c>
      <c r="B256" s="5" t="s">
        <v>744</v>
      </c>
      <c r="C256" s="5" t="s">
        <v>17</v>
      </c>
      <c r="D256" s="5" t="s">
        <v>18</v>
      </c>
      <c r="E256" s="5" t="s">
        <v>339</v>
      </c>
      <c r="F256" s="9">
        <v>94</v>
      </c>
      <c r="G256" s="9">
        <v>1040</v>
      </c>
      <c r="H256" s="5" t="s">
        <v>20</v>
      </c>
      <c r="I256" s="5" t="s">
        <v>745</v>
      </c>
      <c r="J256" s="12" t="str">
        <f>HYPERLINK("https://www.boe.es/gazeta/dias/1804/11/23/pdfs/GMD-1804-94.pdf#page=8","Abrir facsímil")</f>
        <v>Abrir facsímil</v>
      </c>
      <c r="K256" s="15" t="s">
        <v>22</v>
      </c>
    </row>
    <row r="257" spans="1:11" ht="42" customHeight="1">
      <c r="A257" s="4" t="s">
        <v>746</v>
      </c>
      <c r="B257" s="5" t="s">
        <v>747</v>
      </c>
      <c r="C257" s="5" t="s">
        <v>27</v>
      </c>
      <c r="D257" s="5" t="s">
        <v>28</v>
      </c>
      <c r="E257" s="5" t="s">
        <v>132</v>
      </c>
      <c r="F257" s="9">
        <v>52</v>
      </c>
      <c r="G257" s="9">
        <v>574</v>
      </c>
      <c r="H257" s="5" t="s">
        <v>20</v>
      </c>
      <c r="I257" s="5" t="s">
        <v>748</v>
      </c>
      <c r="J257" s="12" t="str">
        <f>HYPERLINK("https://www.boe.es/gazeta/dias/1804/06/29/pdfs/GMD-1804-52.pdf#page=8","Abrir facsímil")</f>
        <v>Abrir facsímil</v>
      </c>
      <c r="K257" s="15" t="s">
        <v>22</v>
      </c>
    </row>
    <row r="258" spans="1:11" ht="42" customHeight="1">
      <c r="A258" s="4" t="s">
        <v>749</v>
      </c>
      <c r="B258" s="5" t="s">
        <v>750</v>
      </c>
      <c r="C258" s="5" t="s">
        <v>27</v>
      </c>
      <c r="D258" s="5" t="s">
        <v>28</v>
      </c>
      <c r="E258" s="5" t="s">
        <v>484</v>
      </c>
      <c r="F258" s="9">
        <v>53</v>
      </c>
      <c r="G258" s="9">
        <v>591</v>
      </c>
      <c r="H258" s="5" t="s">
        <v>20</v>
      </c>
      <c r="I258" s="5" t="s">
        <v>751</v>
      </c>
      <c r="J258" s="12" t="str">
        <f>HYPERLINK("https://www.boe.es/gazeta/dias/1804/07/03/pdfs/GMD-1804-53.pdf#page=9","Abrir facsímil")</f>
        <v>Abrir facsímil</v>
      </c>
      <c r="K258" s="15" t="s">
        <v>22</v>
      </c>
    </row>
    <row r="259" spans="1:11" ht="42" customHeight="1">
      <c r="A259" s="4" t="s">
        <v>752</v>
      </c>
      <c r="B259" s="5" t="s">
        <v>753</v>
      </c>
      <c r="C259" s="5" t="s">
        <v>27</v>
      </c>
      <c r="D259" s="5" t="s">
        <v>28</v>
      </c>
      <c r="E259" s="5" t="s">
        <v>19</v>
      </c>
      <c r="F259" s="9">
        <v>60</v>
      </c>
      <c r="G259" s="9">
        <v>665</v>
      </c>
      <c r="H259" s="5" t="s">
        <v>20</v>
      </c>
      <c r="I259" s="5" t="s">
        <v>754</v>
      </c>
      <c r="J259" s="12" t="str">
        <f>HYPERLINK("https://www.boe.es/gazeta/dias/1804/07/27/pdfs/GMD-1804-60.pdf#page=7","Abrir facsímil")</f>
        <v>Abrir facsímil</v>
      </c>
      <c r="K259" s="15" t="s">
        <v>22</v>
      </c>
    </row>
    <row r="260" spans="1:11" ht="42" customHeight="1">
      <c r="A260" s="4" t="s">
        <v>755</v>
      </c>
      <c r="B260" s="5" t="s">
        <v>756</v>
      </c>
      <c r="C260" s="5" t="s">
        <v>65</v>
      </c>
      <c r="D260" s="5" t="s">
        <v>66</v>
      </c>
      <c r="E260" s="5" t="s">
        <v>421</v>
      </c>
      <c r="F260" s="9">
        <v>47</v>
      </c>
      <c r="G260" s="9">
        <v>527</v>
      </c>
      <c r="H260" s="5" t="s">
        <v>20</v>
      </c>
      <c r="I260" s="5" t="s">
        <v>757</v>
      </c>
      <c r="J260" s="12" t="str">
        <f>HYPERLINK("https://www.boe.es/gazeta/dias/1804/06/12/pdfs/GMD-1804-47.pdf#page=9","Abrir facsímil")</f>
        <v>Abrir facsímil</v>
      </c>
      <c r="K260" s="15" t="s">
        <v>22</v>
      </c>
    </row>
    <row r="261" spans="1:11" ht="42" customHeight="1">
      <c r="A261" s="4" t="s">
        <v>758</v>
      </c>
      <c r="B261" s="5" t="s">
        <v>759</v>
      </c>
      <c r="C261" s="5" t="s">
        <v>65</v>
      </c>
      <c r="D261" s="5" t="s">
        <v>66</v>
      </c>
      <c r="E261" s="5" t="s">
        <v>490</v>
      </c>
      <c r="F261" s="9">
        <v>100</v>
      </c>
      <c r="G261" s="9">
        <v>1118</v>
      </c>
      <c r="H261" s="5" t="s">
        <v>20</v>
      </c>
      <c r="I261" s="5" t="s">
        <v>760</v>
      </c>
      <c r="J261" s="12" t="str">
        <f>HYPERLINK("https://www.boe.es/gazeta/dias/1804/12/14/pdfs/GMD-1804-100.pdf#page=10","Abrir facsímil")</f>
        <v>Abrir facsímil</v>
      </c>
      <c r="K261" s="15" t="s">
        <v>22</v>
      </c>
    </row>
    <row r="262" spans="1:11" ht="42" customHeight="1">
      <c r="A262" s="4" t="s">
        <v>761</v>
      </c>
      <c r="B262" s="5" t="s">
        <v>762</v>
      </c>
      <c r="C262" s="5" t="s">
        <v>27</v>
      </c>
      <c r="D262" s="5" t="s">
        <v>28</v>
      </c>
      <c r="E262" s="5" t="s">
        <v>206</v>
      </c>
      <c r="F262" s="9">
        <v>44</v>
      </c>
      <c r="G262" s="9">
        <v>489</v>
      </c>
      <c r="H262" s="5" t="s">
        <v>20</v>
      </c>
      <c r="I262" s="5" t="s">
        <v>763</v>
      </c>
      <c r="J262" s="12" t="str">
        <f>HYPERLINK("https://www.boe.es/gazeta/dias/1804/06/01/pdfs/GMD-1804-44.pdf#page=7","Abrir facsímil")</f>
        <v>Abrir facsímil</v>
      </c>
      <c r="K262" s="15" t="s">
        <v>22</v>
      </c>
    </row>
    <row r="263" spans="1:11" ht="42" customHeight="1">
      <c r="A263" s="4" t="s">
        <v>764</v>
      </c>
      <c r="B263" s="5" t="s">
        <v>765</v>
      </c>
      <c r="C263" s="5" t="s">
        <v>27</v>
      </c>
      <c r="D263" s="5" t="s">
        <v>28</v>
      </c>
      <c r="E263" s="5" t="s">
        <v>23</v>
      </c>
      <c r="F263" s="9">
        <v>91</v>
      </c>
      <c r="G263" s="9">
        <v>1009</v>
      </c>
      <c r="H263" s="5" t="s">
        <v>20</v>
      </c>
      <c r="I263" s="5" t="s">
        <v>766</v>
      </c>
      <c r="J263" s="12" t="str">
        <f>HYPERLINK("https://www.boe.es/gazeta/dias/1804/11/13/pdfs/GMD-1804-91.pdf#page=9","Abrir facsímil")</f>
        <v>Abrir facsímil</v>
      </c>
      <c r="K263" s="15" t="s">
        <v>22</v>
      </c>
    </row>
    <row r="264" spans="1:11" ht="42" customHeight="1">
      <c r="A264" s="4" t="s">
        <v>767</v>
      </c>
      <c r="B264" s="5" t="s">
        <v>768</v>
      </c>
      <c r="C264" s="5" t="s">
        <v>17</v>
      </c>
      <c r="D264" s="5" t="s">
        <v>18</v>
      </c>
      <c r="E264" s="5" t="s">
        <v>421</v>
      </c>
      <c r="F264" s="9">
        <v>47</v>
      </c>
      <c r="G264" s="9">
        <v>529</v>
      </c>
      <c r="H264" s="5" t="s">
        <v>20</v>
      </c>
      <c r="I264" s="5" t="s">
        <v>769</v>
      </c>
      <c r="J264" s="12" t="str">
        <f>HYPERLINK("https://www.boe.es/gazeta/dias/1804/06/12/pdfs/GMD-1804-47.pdf#page=11","Abrir facsímil")</f>
        <v>Abrir facsímil</v>
      </c>
      <c r="K264" s="15" t="s">
        <v>22</v>
      </c>
    </row>
    <row r="265" spans="1:11" ht="42" customHeight="1">
      <c r="A265" s="4" t="s">
        <v>770</v>
      </c>
      <c r="B265" s="5" t="s">
        <v>771</v>
      </c>
      <c r="C265" s="5" t="s">
        <v>17</v>
      </c>
      <c r="D265" s="5" t="s">
        <v>18</v>
      </c>
      <c r="E265" s="5" t="s">
        <v>71</v>
      </c>
      <c r="F265" s="9">
        <v>99</v>
      </c>
      <c r="G265" s="9">
        <v>1106</v>
      </c>
      <c r="H265" s="5" t="s">
        <v>20</v>
      </c>
      <c r="I265" s="5" t="s">
        <v>772</v>
      </c>
      <c r="J265" s="12" t="str">
        <f>HYPERLINK("https://www.boe.es/gazeta/dias/1804/12/11/pdfs/GMD-1804-99.pdf#page=6","Abrir facsímil")</f>
        <v>Abrir facsímil</v>
      </c>
      <c r="K265" s="15" t="s">
        <v>22</v>
      </c>
    </row>
    <row r="266" spans="1:11" ht="42" customHeight="1">
      <c r="A266" s="4" t="s">
        <v>773</v>
      </c>
      <c r="B266" s="5" t="s">
        <v>773</v>
      </c>
      <c r="C266" s="5" t="s">
        <v>198</v>
      </c>
      <c r="D266" s="5" t="s">
        <v>66</v>
      </c>
      <c r="E266" s="5" t="s">
        <v>350</v>
      </c>
      <c r="F266" s="9">
        <v>19</v>
      </c>
      <c r="G266" s="9">
        <v>203</v>
      </c>
      <c r="H266" s="5" t="s">
        <v>20</v>
      </c>
      <c r="I266" s="5" t="s">
        <v>774</v>
      </c>
      <c r="J266" s="12" t="str">
        <f>HYPERLINK("https://www.boe.es/gazeta/dias/1804/03/06/pdfs/GMD-1804-19.pdf#page=3","Abrir facsímil")</f>
        <v>Abrir facsímil</v>
      </c>
      <c r="K266" s="15" t="s">
        <v>22</v>
      </c>
    </row>
    <row r="267" spans="1:11" ht="42" customHeight="1">
      <c r="A267" s="4" t="s">
        <v>773</v>
      </c>
      <c r="B267" s="5" t="s">
        <v>773</v>
      </c>
      <c r="C267" s="5" t="s">
        <v>57</v>
      </c>
      <c r="D267" s="5" t="s">
        <v>58</v>
      </c>
      <c r="E267" s="5" t="s">
        <v>320</v>
      </c>
      <c r="F267" s="9">
        <v>31</v>
      </c>
      <c r="G267" s="9">
        <v>336</v>
      </c>
      <c r="H267" s="5" t="s">
        <v>20</v>
      </c>
      <c r="I267" s="5" t="s">
        <v>775</v>
      </c>
      <c r="J267" s="12" t="str">
        <f>HYPERLINK("https://www.boe.es/gazeta/dias/1804/04/17/pdfs/GMD-1804-31.pdf#page=2","Abrir facsímil")</f>
        <v>Abrir facsímil</v>
      </c>
      <c r="K267" s="15" t="s">
        <v>22</v>
      </c>
    </row>
    <row r="268" spans="1:11" ht="42" customHeight="1">
      <c r="A268" s="4" t="s">
        <v>773</v>
      </c>
      <c r="B268" s="5" t="s">
        <v>773</v>
      </c>
      <c r="C268" s="5" t="s">
        <v>57</v>
      </c>
      <c r="D268" s="5" t="s">
        <v>58</v>
      </c>
      <c r="E268" s="5" t="s">
        <v>484</v>
      </c>
      <c r="F268" s="9">
        <v>53</v>
      </c>
      <c r="G268" s="9">
        <v>583</v>
      </c>
      <c r="H268" s="5" t="s">
        <v>20</v>
      </c>
      <c r="I268" s="5" t="s">
        <v>776</v>
      </c>
      <c r="J268" s="12" t="str">
        <f>HYPERLINK("https://www.boe.es/gazeta/dias/1804/07/03/pdfs/GMD-1804-53.pdf#page=1","Abrir facsímil")</f>
        <v>Abrir facsímil</v>
      </c>
      <c r="K268" s="15" t="s">
        <v>22</v>
      </c>
    </row>
    <row r="269" spans="1:11" ht="42" customHeight="1">
      <c r="A269" s="4" t="s">
        <v>777</v>
      </c>
      <c r="B269" s="5" t="s">
        <v>778</v>
      </c>
      <c r="C269" s="5" t="s">
        <v>27</v>
      </c>
      <c r="D269" s="5" t="s">
        <v>28</v>
      </c>
      <c r="E269" s="5" t="s">
        <v>155</v>
      </c>
      <c r="F269" s="9">
        <v>92</v>
      </c>
      <c r="G269" s="9">
        <v>1020</v>
      </c>
      <c r="H269" s="5" t="s">
        <v>20</v>
      </c>
      <c r="I269" s="5" t="s">
        <v>779</v>
      </c>
      <c r="J269" s="12" t="str">
        <f>HYPERLINK("https://www.boe.es/gazeta/dias/1804/11/16/pdfs/GMD-1804-92.pdf#page=8","Abrir facsímil")</f>
        <v>Abrir facsímil</v>
      </c>
      <c r="K269" s="15" t="s">
        <v>22</v>
      </c>
    </row>
    <row r="270" spans="1:11" ht="42" customHeight="1">
      <c r="A270" s="4" t="s">
        <v>780</v>
      </c>
      <c r="B270" s="5" t="s">
        <v>781</v>
      </c>
      <c r="C270" s="5" t="s">
        <v>57</v>
      </c>
      <c r="D270" s="5" t="s">
        <v>58</v>
      </c>
      <c r="E270" s="5" t="s">
        <v>782</v>
      </c>
      <c r="F270" s="9">
        <v>75</v>
      </c>
      <c r="G270" s="9">
        <v>835</v>
      </c>
      <c r="H270" s="5" t="s">
        <v>20</v>
      </c>
      <c r="I270" s="5" t="s">
        <v>783</v>
      </c>
      <c r="J270" s="12" t="str">
        <f>HYPERLINK("https://www.boe.es/gazeta/dias/1804/09/18/pdfs/GMD-1804-75.pdf#page=1","Abrir facsímil")</f>
        <v>Abrir facsímil</v>
      </c>
      <c r="K270" s="15" t="s">
        <v>22</v>
      </c>
    </row>
    <row r="271" spans="1:11" ht="42" customHeight="1">
      <c r="A271" s="4" t="s">
        <v>784</v>
      </c>
      <c r="B271" s="5" t="s">
        <v>785</v>
      </c>
      <c r="C271" s="5" t="s">
        <v>57</v>
      </c>
      <c r="D271" s="5" t="s">
        <v>58</v>
      </c>
      <c r="E271" s="5" t="s">
        <v>216</v>
      </c>
      <c r="F271" s="9">
        <v>67</v>
      </c>
      <c r="G271" s="9">
        <v>744</v>
      </c>
      <c r="H271" s="5" t="s">
        <v>20</v>
      </c>
      <c r="I271" s="5" t="s">
        <v>786</v>
      </c>
      <c r="J271" s="12" t="str">
        <f>HYPERLINK("https://www.boe.es/gazeta/dias/1804/08/21/pdfs/GMD-1804-67.pdf#page=2","Abrir facsímil")</f>
        <v>Abrir facsímil</v>
      </c>
      <c r="K271" s="15" t="s">
        <v>22</v>
      </c>
    </row>
    <row r="272" spans="1:11" ht="42" customHeight="1">
      <c r="A272" s="4" t="s">
        <v>787</v>
      </c>
      <c r="B272" s="5" t="s">
        <v>787</v>
      </c>
      <c r="C272" s="5" t="s">
        <v>57</v>
      </c>
      <c r="D272" s="5" t="s">
        <v>58</v>
      </c>
      <c r="E272" s="5" t="s">
        <v>258</v>
      </c>
      <c r="F272" s="9">
        <v>14</v>
      </c>
      <c r="G272" s="9">
        <v>147</v>
      </c>
      <c r="H272" s="5" t="s">
        <v>20</v>
      </c>
      <c r="I272" s="5" t="s">
        <v>788</v>
      </c>
      <c r="J272" s="12" t="str">
        <f>HYPERLINK("https://www.boe.es/gazeta/dias/1804/02/17/pdfs/GMD-1804-14.pdf#page=3","Abrir facsímil")</f>
        <v>Abrir facsímil</v>
      </c>
      <c r="K272" s="15" t="s">
        <v>22</v>
      </c>
    </row>
    <row r="273" spans="1:11" ht="42" customHeight="1">
      <c r="A273" s="4" t="s">
        <v>789</v>
      </c>
      <c r="B273" s="5" t="s">
        <v>790</v>
      </c>
      <c r="C273" s="5" t="s">
        <v>27</v>
      </c>
      <c r="D273" s="5" t="s">
        <v>28</v>
      </c>
      <c r="E273" s="5" t="s">
        <v>308</v>
      </c>
      <c r="F273" s="9">
        <v>96</v>
      </c>
      <c r="G273" s="9">
        <v>1067</v>
      </c>
      <c r="H273" s="5" t="s">
        <v>20</v>
      </c>
      <c r="I273" s="5" t="s">
        <v>791</v>
      </c>
      <c r="J273" s="12" t="str">
        <f>HYPERLINK("https://www.boe.es/gazeta/dias/1804/11/30/pdfs/GMD-1804-96.pdf#page=7","Abrir facsímil")</f>
        <v>Abrir facsímil</v>
      </c>
      <c r="K273" s="15" t="s">
        <v>22</v>
      </c>
    </row>
    <row r="274" spans="1:11" ht="42" customHeight="1">
      <c r="A274" s="4" t="s">
        <v>792</v>
      </c>
      <c r="B274" s="5" t="s">
        <v>793</v>
      </c>
      <c r="C274" s="5" t="s">
        <v>65</v>
      </c>
      <c r="D274" s="5" t="s">
        <v>66</v>
      </c>
      <c r="E274" s="5" t="s">
        <v>794</v>
      </c>
      <c r="F274" s="9">
        <v>42</v>
      </c>
      <c r="G274" s="9">
        <v>473</v>
      </c>
      <c r="H274" s="5" t="s">
        <v>20</v>
      </c>
      <c r="I274" s="5" t="s">
        <v>795</v>
      </c>
      <c r="J274" s="12" t="str">
        <f>HYPERLINK("https://www.boe.es/gazeta/dias/1804/05/25/pdfs/GMD-1804-42.pdf#page=11","Abrir facsímil")</f>
        <v>Abrir facsímil</v>
      </c>
      <c r="K274" s="15" t="s">
        <v>22</v>
      </c>
    </row>
    <row r="275" spans="1:11" ht="42" customHeight="1">
      <c r="A275" s="4" t="s">
        <v>796</v>
      </c>
      <c r="B275" s="5" t="s">
        <v>797</v>
      </c>
      <c r="C275" s="5" t="s">
        <v>65</v>
      </c>
      <c r="D275" s="5" t="s">
        <v>66</v>
      </c>
      <c r="E275" s="5" t="s">
        <v>50</v>
      </c>
      <c r="F275" s="9">
        <v>93</v>
      </c>
      <c r="G275" s="9">
        <v>1030</v>
      </c>
      <c r="H275" s="5" t="s">
        <v>20</v>
      </c>
      <c r="I275" s="5" t="s">
        <v>798</v>
      </c>
      <c r="J275" s="12" t="str">
        <f>HYPERLINK("https://www.boe.es/gazeta/dias/1804/11/20/pdfs/GMD-1804-93.pdf#page=6","Abrir facsímil")</f>
        <v>Abrir facsímil</v>
      </c>
      <c r="K275" s="15" t="s">
        <v>22</v>
      </c>
    </row>
    <row r="276" spans="1:11" ht="42" customHeight="1">
      <c r="A276" s="4" t="s">
        <v>799</v>
      </c>
      <c r="B276" s="5" t="s">
        <v>799</v>
      </c>
      <c r="C276" s="5" t="s">
        <v>57</v>
      </c>
      <c r="D276" s="5" t="s">
        <v>58</v>
      </c>
      <c r="E276" s="5" t="s">
        <v>800</v>
      </c>
      <c r="F276" s="9">
        <v>45</v>
      </c>
      <c r="G276" s="9">
        <v>492</v>
      </c>
      <c r="H276" s="5" t="s">
        <v>20</v>
      </c>
      <c r="I276" s="5" t="s">
        <v>801</v>
      </c>
      <c r="J276" s="12" t="str">
        <f>HYPERLINK("https://www.boe.es/gazeta/dias/1804/06/05/pdfs/GMD-1804-45.pdf#page=2","Abrir facsímil")</f>
        <v>Abrir facsímil</v>
      </c>
      <c r="K276" s="15" t="s">
        <v>22</v>
      </c>
    </row>
    <row r="277" spans="1:11" ht="42" customHeight="1">
      <c r="A277" s="4" t="s">
        <v>802</v>
      </c>
      <c r="B277" s="5" t="s">
        <v>803</v>
      </c>
      <c r="C277" s="5" t="s">
        <v>27</v>
      </c>
      <c r="D277" s="5" t="s">
        <v>28</v>
      </c>
      <c r="E277" s="5" t="s">
        <v>140</v>
      </c>
      <c r="F277" s="9">
        <v>39</v>
      </c>
      <c r="G277" s="9">
        <v>438</v>
      </c>
      <c r="H277" s="5" t="s">
        <v>20</v>
      </c>
      <c r="I277" s="5" t="s">
        <v>804</v>
      </c>
      <c r="J277" s="12" t="str">
        <f>HYPERLINK("https://www.boe.es/gazeta/dias/1804/05/15/pdfs/GMD-1804-39.pdf#page=12","Abrir facsímil")</f>
        <v>Abrir facsímil</v>
      </c>
      <c r="K277" s="15" t="s">
        <v>22</v>
      </c>
    </row>
    <row r="278" spans="1:11" ht="42" customHeight="1">
      <c r="A278" s="4" t="s">
        <v>805</v>
      </c>
      <c r="B278" s="5" t="s">
        <v>806</v>
      </c>
      <c r="C278" s="5" t="s">
        <v>27</v>
      </c>
      <c r="D278" s="5" t="s">
        <v>28</v>
      </c>
      <c r="E278" s="5" t="s">
        <v>526</v>
      </c>
      <c r="F278" s="9">
        <v>95</v>
      </c>
      <c r="G278" s="9">
        <v>1056</v>
      </c>
      <c r="H278" s="5" t="s">
        <v>20</v>
      </c>
      <c r="I278" s="5" t="s">
        <v>807</v>
      </c>
      <c r="J278" s="12" t="str">
        <f>HYPERLINK("https://www.boe.es/gazeta/dias/1804/11/27/pdfs/GMD-1804-95.pdf#page=8","Abrir facsímil")</f>
        <v>Abrir facsímil</v>
      </c>
      <c r="K278" s="15" t="s">
        <v>22</v>
      </c>
    </row>
    <row r="279" spans="1:11" ht="42" customHeight="1">
      <c r="A279" s="4" t="s">
        <v>808</v>
      </c>
      <c r="B279" s="5" t="s">
        <v>809</v>
      </c>
      <c r="C279" s="5" t="s">
        <v>198</v>
      </c>
      <c r="D279" s="5" t="s">
        <v>66</v>
      </c>
      <c r="E279" s="5" t="s">
        <v>37</v>
      </c>
      <c r="F279" s="9">
        <v>29</v>
      </c>
      <c r="G279" s="9">
        <v>319</v>
      </c>
      <c r="H279" s="5" t="s">
        <v>20</v>
      </c>
      <c r="I279" s="5" t="s">
        <v>810</v>
      </c>
      <c r="J279" s="12" t="str">
        <f>HYPERLINK("https://www.boe.es/gazeta/dias/1804/04/10/pdfs/GMD-1804-29.pdf#page=9","Abrir facsímil")</f>
        <v>Abrir facsímil</v>
      </c>
      <c r="K279" s="15" t="s">
        <v>22</v>
      </c>
    </row>
    <row r="280" spans="1:11" ht="42" customHeight="1">
      <c r="A280" s="4" t="s">
        <v>811</v>
      </c>
      <c r="B280" s="5" t="s">
        <v>812</v>
      </c>
      <c r="C280" s="5" t="s">
        <v>27</v>
      </c>
      <c r="D280" s="5" t="s">
        <v>28</v>
      </c>
      <c r="E280" s="5" t="s">
        <v>33</v>
      </c>
      <c r="F280" s="9">
        <v>48</v>
      </c>
      <c r="G280" s="9">
        <v>537</v>
      </c>
      <c r="H280" s="5" t="s">
        <v>20</v>
      </c>
      <c r="I280" s="5" t="s">
        <v>813</v>
      </c>
      <c r="J280" s="12" t="str">
        <f>HYPERLINK("https://www.boe.es/gazeta/dias/1804/06/15/pdfs/GMD-1804-48.pdf#page=7","Abrir facsímil")</f>
        <v>Abrir facsímil</v>
      </c>
      <c r="K280" s="15" t="s">
        <v>22</v>
      </c>
    </row>
    <row r="281" spans="1:11" ht="42" customHeight="1">
      <c r="A281" s="4" t="s">
        <v>814</v>
      </c>
      <c r="B281" s="5" t="s">
        <v>815</v>
      </c>
      <c r="C281" s="5" t="s">
        <v>27</v>
      </c>
      <c r="D281" s="5" t="s">
        <v>28</v>
      </c>
      <c r="E281" s="5" t="s">
        <v>320</v>
      </c>
      <c r="F281" s="9">
        <v>31</v>
      </c>
      <c r="G281" s="9">
        <v>343</v>
      </c>
      <c r="H281" s="5" t="s">
        <v>20</v>
      </c>
      <c r="I281" s="5" t="s">
        <v>816</v>
      </c>
      <c r="J281" s="12" t="str">
        <f>HYPERLINK("https://www.boe.es/gazeta/dias/1804/04/17/pdfs/GMD-1804-31.pdf#page=9","Abrir facsímil")</f>
        <v>Abrir facsímil</v>
      </c>
      <c r="K281" s="15" t="s">
        <v>22</v>
      </c>
    </row>
    <row r="282" spans="1:11" ht="42" customHeight="1">
      <c r="A282" s="4" t="s">
        <v>817</v>
      </c>
      <c r="B282" s="5" t="s">
        <v>818</v>
      </c>
      <c r="C282" s="5" t="s">
        <v>120</v>
      </c>
      <c r="D282" s="5" t="s">
        <v>121</v>
      </c>
      <c r="E282" s="5" t="s">
        <v>33</v>
      </c>
      <c r="F282" s="9">
        <v>48</v>
      </c>
      <c r="G282" s="9" t="s">
        <v>819</v>
      </c>
      <c r="H282" s="5" t="s">
        <v>20</v>
      </c>
      <c r="I282" s="5" t="s">
        <v>820</v>
      </c>
      <c r="J282" s="12" t="str">
        <f>HYPERLINK("https://www.boe.es/gazeta/dias/1804/06/15/pdfs/GMD-C-1804-48.pdf#page=4","Abrir facsímil")</f>
        <v>Abrir facsímil</v>
      </c>
      <c r="K282" s="15" t="s">
        <v>22</v>
      </c>
    </row>
    <row r="283" spans="1:11" ht="42" customHeight="1">
      <c r="A283" s="4" t="s">
        <v>821</v>
      </c>
      <c r="B283" s="5" t="s">
        <v>822</v>
      </c>
      <c r="C283" s="5" t="s">
        <v>198</v>
      </c>
      <c r="D283" s="5" t="s">
        <v>66</v>
      </c>
      <c r="E283" s="5" t="s">
        <v>41</v>
      </c>
      <c r="F283" s="9">
        <v>24</v>
      </c>
      <c r="G283" s="9">
        <v>274</v>
      </c>
      <c r="H283" s="5" t="s">
        <v>20</v>
      </c>
      <c r="I283" s="5" t="s">
        <v>823</v>
      </c>
      <c r="J283" s="12" t="str">
        <f>HYPERLINK("https://www.boe.es/gazeta/dias/1804/03/23/pdfs/GMD-1804-24.pdf#page=8","Abrir facsímil")</f>
        <v>Abrir facsímil</v>
      </c>
      <c r="K283" s="15" t="s">
        <v>22</v>
      </c>
    </row>
    <row r="284" spans="1:11" ht="42" customHeight="1">
      <c r="A284" s="4" t="s">
        <v>824</v>
      </c>
      <c r="B284" s="5" t="s">
        <v>824</v>
      </c>
      <c r="C284" s="5" t="s">
        <v>27</v>
      </c>
      <c r="D284" s="5" t="s">
        <v>28</v>
      </c>
      <c r="E284" s="5" t="s">
        <v>354</v>
      </c>
      <c r="F284" s="9">
        <v>1</v>
      </c>
      <c r="G284" s="9">
        <v>8</v>
      </c>
      <c r="H284" s="5" t="s">
        <v>20</v>
      </c>
      <c r="I284" s="5" t="s">
        <v>825</v>
      </c>
      <c r="J284" s="12" t="str">
        <f>HYPERLINK("https://www.boe.es/gazeta/dias/1804/01/03/pdfs/GMD-1804-1.pdf#page=8","Abrir facsímil")</f>
        <v>Abrir facsímil</v>
      </c>
      <c r="K284" s="15" t="s">
        <v>22</v>
      </c>
    </row>
    <row r="285" spans="1:11" ht="42" customHeight="1">
      <c r="A285" s="4" t="s">
        <v>826</v>
      </c>
      <c r="B285" s="5" t="s">
        <v>827</v>
      </c>
      <c r="C285" s="5" t="s">
        <v>27</v>
      </c>
      <c r="D285" s="5" t="s">
        <v>28</v>
      </c>
      <c r="E285" s="5" t="s">
        <v>67</v>
      </c>
      <c r="F285" s="9">
        <v>59</v>
      </c>
      <c r="G285" s="9">
        <v>654</v>
      </c>
      <c r="H285" s="5" t="s">
        <v>20</v>
      </c>
      <c r="I285" s="5" t="s">
        <v>828</v>
      </c>
      <c r="J285" s="12" t="str">
        <f>HYPERLINK("https://www.boe.es/gazeta/dias/1804/07/24/pdfs/GMD-1804-59.pdf#page=8","Abrir facsímil")</f>
        <v>Abrir facsímil</v>
      </c>
      <c r="K285" s="15" t="s">
        <v>22</v>
      </c>
    </row>
    <row r="286" spans="1:11" ht="42" customHeight="1">
      <c r="A286" s="4" t="s">
        <v>829</v>
      </c>
      <c r="B286" s="5" t="s">
        <v>829</v>
      </c>
      <c r="C286" s="5" t="s">
        <v>17</v>
      </c>
      <c r="D286" s="5" t="s">
        <v>18</v>
      </c>
      <c r="E286" s="5" t="s">
        <v>71</v>
      </c>
      <c r="F286" s="9">
        <v>99</v>
      </c>
      <c r="G286" s="9">
        <v>1107</v>
      </c>
      <c r="H286" s="5" t="s">
        <v>20</v>
      </c>
      <c r="I286" s="5" t="s">
        <v>830</v>
      </c>
      <c r="J286" s="12" t="str">
        <f>HYPERLINK("https://www.boe.es/gazeta/dias/1804/12/11/pdfs/GMD-1804-99.pdf#page=7","Abrir facsímil")</f>
        <v>Abrir facsímil</v>
      </c>
      <c r="K286" s="15" t="s">
        <v>22</v>
      </c>
    </row>
    <row r="287" spans="1:11" ht="42" customHeight="1">
      <c r="A287" s="4" t="s">
        <v>831</v>
      </c>
      <c r="B287" s="5" t="s">
        <v>831</v>
      </c>
      <c r="C287" s="5" t="s">
        <v>85</v>
      </c>
      <c r="D287" s="5" t="s">
        <v>86</v>
      </c>
      <c r="E287" s="5" t="s">
        <v>709</v>
      </c>
      <c r="F287" s="9">
        <v>82</v>
      </c>
      <c r="G287" s="9">
        <v>910</v>
      </c>
      <c r="H287" s="5" t="s">
        <v>20</v>
      </c>
      <c r="I287" s="5" t="s">
        <v>832</v>
      </c>
      <c r="J287" s="12" t="str">
        <f>HYPERLINK("https://www.boe.es/gazeta/dias/1804/10/12/pdfs/GMD-1804-82.pdf#page=12","Abrir facsímil")</f>
        <v>Abrir facsímil</v>
      </c>
      <c r="K287" s="15" t="s">
        <v>22</v>
      </c>
    </row>
    <row r="288" spans="1:11" ht="42" customHeight="1">
      <c r="A288" s="4" t="s">
        <v>833</v>
      </c>
      <c r="B288" s="5" t="s">
        <v>833</v>
      </c>
      <c r="C288" s="5" t="s">
        <v>65</v>
      </c>
      <c r="D288" s="5" t="s">
        <v>66</v>
      </c>
      <c r="E288" s="5" t="s">
        <v>155</v>
      </c>
      <c r="F288" s="9">
        <v>92</v>
      </c>
      <c r="G288" s="9">
        <v>1020</v>
      </c>
      <c r="H288" s="5" t="s">
        <v>20</v>
      </c>
      <c r="I288" s="5" t="s">
        <v>834</v>
      </c>
      <c r="J288" s="12" t="str">
        <f>HYPERLINK("https://www.boe.es/gazeta/dias/1804/11/16/pdfs/GMD-1804-92.pdf#page=8","Abrir facsímil")</f>
        <v>Abrir facsímil</v>
      </c>
      <c r="K288" s="15" t="s">
        <v>22</v>
      </c>
    </row>
    <row r="289" spans="1:11" ht="42" customHeight="1">
      <c r="A289" s="4" t="s">
        <v>835</v>
      </c>
      <c r="B289" s="5" t="s">
        <v>835</v>
      </c>
      <c r="C289" s="5" t="s">
        <v>17</v>
      </c>
      <c r="D289" s="5" t="s">
        <v>18</v>
      </c>
      <c r="E289" s="5" t="s">
        <v>272</v>
      </c>
      <c r="F289" s="9">
        <v>30</v>
      </c>
      <c r="G289" s="9">
        <v>332</v>
      </c>
      <c r="H289" s="5" t="s">
        <v>20</v>
      </c>
      <c r="I289" s="5" t="s">
        <v>836</v>
      </c>
      <c r="J289" s="12" t="str">
        <f>HYPERLINK("https://www.boe.es/gazeta/dias/1804/04/13/pdfs/GMD-1804-30.pdf#page=10","Abrir facsímil")</f>
        <v>Abrir facsímil</v>
      </c>
      <c r="K289" s="15" t="s">
        <v>22</v>
      </c>
    </row>
    <row r="290" spans="1:11" ht="42" customHeight="1">
      <c r="A290" s="4" t="s">
        <v>837</v>
      </c>
      <c r="B290" s="5" t="s">
        <v>837</v>
      </c>
      <c r="C290" s="5" t="s">
        <v>17</v>
      </c>
      <c r="D290" s="5" t="s">
        <v>18</v>
      </c>
      <c r="E290" s="5" t="s">
        <v>155</v>
      </c>
      <c r="F290" s="9">
        <v>92</v>
      </c>
      <c r="G290" s="9">
        <v>1020</v>
      </c>
      <c r="H290" s="5" t="s">
        <v>20</v>
      </c>
      <c r="I290" s="5" t="s">
        <v>838</v>
      </c>
      <c r="J290" s="12" t="str">
        <f>HYPERLINK("https://www.boe.es/gazeta/dias/1804/11/16/pdfs/GMD-1804-92.pdf#page=8","Abrir facsímil")</f>
        <v>Abrir facsímil</v>
      </c>
      <c r="K290" s="15" t="s">
        <v>22</v>
      </c>
    </row>
    <row r="291" spans="1:11" ht="42" customHeight="1">
      <c r="A291" s="4" t="s">
        <v>839</v>
      </c>
      <c r="B291" s="5" t="s">
        <v>839</v>
      </c>
      <c r="C291" s="5" t="s">
        <v>27</v>
      </c>
      <c r="D291" s="5" t="s">
        <v>28</v>
      </c>
      <c r="E291" s="5" t="s">
        <v>670</v>
      </c>
      <c r="F291" s="9">
        <v>41</v>
      </c>
      <c r="G291" s="9">
        <v>458</v>
      </c>
      <c r="H291" s="5" t="s">
        <v>20</v>
      </c>
      <c r="I291" s="5" t="s">
        <v>840</v>
      </c>
      <c r="J291" s="12" t="str">
        <f>HYPERLINK("https://www.boe.es/gazeta/dias/1804/05/22/pdfs/GMD-1804-41.pdf#page=8","Abrir facsímil")</f>
        <v>Abrir facsímil</v>
      </c>
      <c r="K291" s="15" t="s">
        <v>22</v>
      </c>
    </row>
    <row r="292" spans="1:11" ht="42" customHeight="1">
      <c r="A292" s="4" t="s">
        <v>841</v>
      </c>
      <c r="B292" s="5" t="s">
        <v>841</v>
      </c>
      <c r="C292" s="5" t="s">
        <v>27</v>
      </c>
      <c r="D292" s="5" t="s">
        <v>28</v>
      </c>
      <c r="E292" s="5" t="s">
        <v>216</v>
      </c>
      <c r="F292" s="9">
        <v>67</v>
      </c>
      <c r="G292" s="9">
        <v>750</v>
      </c>
      <c r="H292" s="5" t="s">
        <v>20</v>
      </c>
      <c r="I292" s="5" t="s">
        <v>842</v>
      </c>
      <c r="J292" s="12" t="str">
        <f>HYPERLINK("https://www.boe.es/gazeta/dias/1804/08/21/pdfs/GMD-1804-67.pdf#page=8","Abrir facsímil")</f>
        <v>Abrir facsímil</v>
      </c>
      <c r="K292" s="15" t="s">
        <v>22</v>
      </c>
    </row>
    <row r="293" spans="1:11" ht="42" customHeight="1">
      <c r="A293" s="4" t="s">
        <v>843</v>
      </c>
      <c r="B293" s="5" t="s">
        <v>843</v>
      </c>
      <c r="C293" s="5" t="s">
        <v>65</v>
      </c>
      <c r="D293" s="5" t="s">
        <v>66</v>
      </c>
      <c r="E293" s="5" t="s">
        <v>466</v>
      </c>
      <c r="F293" s="9">
        <v>76</v>
      </c>
      <c r="G293" s="9">
        <v>847</v>
      </c>
      <c r="H293" s="5" t="s">
        <v>20</v>
      </c>
      <c r="I293" s="5" t="s">
        <v>844</v>
      </c>
      <c r="J293" s="12" t="str">
        <f>HYPERLINK("https://www.boe.es/gazeta/dias/1804/09/21/pdfs/GMD-1804-76.pdf#page=5","Abrir facsímil")</f>
        <v>Abrir facsímil</v>
      </c>
      <c r="K293" s="15" t="s">
        <v>22</v>
      </c>
    </row>
    <row r="294" spans="1:11" ht="42" customHeight="1">
      <c r="A294" s="4" t="s">
        <v>845</v>
      </c>
      <c r="B294" s="5" t="s">
        <v>845</v>
      </c>
      <c r="C294" s="5" t="s">
        <v>27</v>
      </c>
      <c r="D294" s="5" t="s">
        <v>28</v>
      </c>
      <c r="E294" s="5" t="s">
        <v>308</v>
      </c>
      <c r="F294" s="9">
        <v>96</v>
      </c>
      <c r="G294" s="9">
        <v>1068</v>
      </c>
      <c r="H294" s="5" t="s">
        <v>20</v>
      </c>
      <c r="I294" s="5" t="s">
        <v>846</v>
      </c>
      <c r="J294" s="12" t="str">
        <f>HYPERLINK("https://www.boe.es/gazeta/dias/1804/11/30/pdfs/GMD-1804-96.pdf#page=8","Abrir facsímil")</f>
        <v>Abrir facsímil</v>
      </c>
      <c r="K294" s="15" t="s">
        <v>22</v>
      </c>
    </row>
    <row r="295" spans="1:11" ht="42" customHeight="1">
      <c r="A295" s="4" t="s">
        <v>847</v>
      </c>
      <c r="B295" s="5" t="s">
        <v>847</v>
      </c>
      <c r="C295" s="5" t="s">
        <v>65</v>
      </c>
      <c r="D295" s="5" t="s">
        <v>66</v>
      </c>
      <c r="E295" s="5" t="s">
        <v>526</v>
      </c>
      <c r="F295" s="9">
        <v>95</v>
      </c>
      <c r="G295" s="9">
        <v>1056</v>
      </c>
      <c r="H295" s="5" t="s">
        <v>20</v>
      </c>
      <c r="I295" s="5" t="s">
        <v>848</v>
      </c>
      <c r="J295" s="12" t="str">
        <f>HYPERLINK("https://www.boe.es/gazeta/dias/1804/11/27/pdfs/GMD-1804-95.pdf#page=8","Abrir facsímil")</f>
        <v>Abrir facsímil</v>
      </c>
      <c r="K295" s="15" t="s">
        <v>22</v>
      </c>
    </row>
    <row r="296" spans="1:11" ht="42" customHeight="1">
      <c r="A296" s="4" t="s">
        <v>849</v>
      </c>
      <c r="B296" s="5" t="s">
        <v>850</v>
      </c>
      <c r="C296" s="5" t="s">
        <v>65</v>
      </c>
      <c r="D296" s="5" t="s">
        <v>66</v>
      </c>
      <c r="E296" s="5" t="s">
        <v>378</v>
      </c>
      <c r="F296" s="9">
        <v>65</v>
      </c>
      <c r="G296" s="9">
        <v>731</v>
      </c>
      <c r="H296" s="5" t="s">
        <v>20</v>
      </c>
      <c r="I296" s="5" t="s">
        <v>851</v>
      </c>
      <c r="J296" s="12" t="str">
        <f>HYPERLINK("https://www.boe.es/gazeta/dias/1804/08/14/pdfs/GMD-1804-65.pdf#page=9","Abrir facsímil")</f>
        <v>Abrir facsímil</v>
      </c>
      <c r="K296" s="15" t="s">
        <v>22</v>
      </c>
    </row>
    <row r="297" spans="1:11" ht="42" customHeight="1">
      <c r="A297" s="4" t="s">
        <v>852</v>
      </c>
      <c r="B297" s="5" t="s">
        <v>853</v>
      </c>
      <c r="C297" s="5" t="s">
        <v>57</v>
      </c>
      <c r="D297" s="5" t="s">
        <v>58</v>
      </c>
      <c r="E297" s="5" t="s">
        <v>526</v>
      </c>
      <c r="F297" s="9">
        <v>95</v>
      </c>
      <c r="G297" s="9">
        <v>1050</v>
      </c>
      <c r="H297" s="5" t="s">
        <v>20</v>
      </c>
      <c r="I297" s="5" t="s">
        <v>854</v>
      </c>
      <c r="J297" s="12" t="str">
        <f>HYPERLINK("https://www.boe.es/gazeta/dias/1804/11/27/pdfs/GMD-1804-95.pdf#page=2","Abrir facsímil")</f>
        <v>Abrir facsímil</v>
      </c>
      <c r="K297" s="15" t="s">
        <v>22</v>
      </c>
    </row>
    <row r="298" spans="1:11" ht="42" customHeight="1">
      <c r="A298" s="4" t="s">
        <v>855</v>
      </c>
      <c r="B298" s="5" t="s">
        <v>856</v>
      </c>
      <c r="C298" s="5" t="s">
        <v>57</v>
      </c>
      <c r="D298" s="5" t="s">
        <v>58</v>
      </c>
      <c r="E298" s="5" t="s">
        <v>857</v>
      </c>
      <c r="F298" s="9">
        <v>28</v>
      </c>
      <c r="G298" s="9">
        <v>305</v>
      </c>
      <c r="H298" s="5" t="s">
        <v>20</v>
      </c>
      <c r="I298" s="5" t="s">
        <v>858</v>
      </c>
      <c r="J298" s="12" t="str">
        <f>HYPERLINK("https://www.boe.es/gazeta/dias/1804/04/06/pdfs/GMD-1804-28.pdf#page=3","Abrir facsímil")</f>
        <v>Abrir facsímil</v>
      </c>
      <c r="K298" s="15" t="s">
        <v>22</v>
      </c>
    </row>
    <row r="299" spans="1:11" ht="42" customHeight="1">
      <c r="A299" s="4" t="s">
        <v>855</v>
      </c>
      <c r="B299" s="5" t="s">
        <v>856</v>
      </c>
      <c r="C299" s="5" t="s">
        <v>17</v>
      </c>
      <c r="D299" s="5" t="s">
        <v>18</v>
      </c>
      <c r="E299" s="5" t="s">
        <v>106</v>
      </c>
      <c r="F299" s="9">
        <v>34</v>
      </c>
      <c r="G299" s="9">
        <v>375</v>
      </c>
      <c r="H299" s="5" t="s">
        <v>20</v>
      </c>
      <c r="I299" s="5" t="s">
        <v>859</v>
      </c>
      <c r="J299" s="12" t="str">
        <f>HYPERLINK("https://www.boe.es/gazeta/dias/1804/04/27/pdfs/GMD-1804-34.pdf#page=5","Abrir facsímil")</f>
        <v>Abrir facsímil</v>
      </c>
      <c r="K299" s="15" t="s">
        <v>22</v>
      </c>
    </row>
    <row r="300" spans="1:11" ht="42" customHeight="1">
      <c r="A300" s="4" t="s">
        <v>860</v>
      </c>
      <c r="B300" s="5" t="s">
        <v>861</v>
      </c>
      <c r="C300" s="5" t="s">
        <v>65</v>
      </c>
      <c r="D300" s="5" t="s">
        <v>66</v>
      </c>
      <c r="E300" s="5" t="s">
        <v>151</v>
      </c>
      <c r="F300" s="9">
        <v>13</v>
      </c>
      <c r="G300" s="9">
        <v>143</v>
      </c>
      <c r="H300" s="5" t="s">
        <v>20</v>
      </c>
      <c r="I300" s="5" t="s">
        <v>862</v>
      </c>
      <c r="J300" s="12" t="str">
        <f>HYPERLINK("https://www.boe.es/gazeta/dias/1804/02/14/pdfs/GMD-1804-13.pdf#page=7","Abrir facsímil")</f>
        <v>Abrir facsímil</v>
      </c>
      <c r="K300" s="15" t="s">
        <v>22</v>
      </c>
    </row>
    <row r="301" spans="1:11" ht="42" customHeight="1">
      <c r="A301" s="4" t="s">
        <v>863</v>
      </c>
      <c r="B301" s="5" t="s">
        <v>864</v>
      </c>
      <c r="C301" s="5" t="s">
        <v>198</v>
      </c>
      <c r="D301" s="5" t="s">
        <v>66</v>
      </c>
      <c r="E301" s="5" t="s">
        <v>326</v>
      </c>
      <c r="F301" s="9">
        <v>69</v>
      </c>
      <c r="G301" s="9">
        <v>772</v>
      </c>
      <c r="H301" s="5" t="s">
        <v>20</v>
      </c>
      <c r="I301" s="5" t="s">
        <v>865</v>
      </c>
      <c r="J301" s="12" t="str">
        <f>HYPERLINK("https://www.boe.es/gazeta/dias/1804/08/28/pdfs/GMD-1804-69.pdf#page=6","Abrir facsímil")</f>
        <v>Abrir facsímil</v>
      </c>
      <c r="K301" s="15" t="s">
        <v>22</v>
      </c>
    </row>
    <row r="302" spans="1:11" ht="42" customHeight="1">
      <c r="A302" s="4" t="s">
        <v>866</v>
      </c>
      <c r="B302" s="5" t="s">
        <v>867</v>
      </c>
      <c r="C302" s="5" t="s">
        <v>57</v>
      </c>
      <c r="D302" s="5" t="s">
        <v>58</v>
      </c>
      <c r="E302" s="5" t="s">
        <v>241</v>
      </c>
      <c r="F302" s="9">
        <v>71</v>
      </c>
      <c r="G302" s="9">
        <v>789</v>
      </c>
      <c r="H302" s="5" t="s">
        <v>20</v>
      </c>
      <c r="I302" s="5" t="s">
        <v>868</v>
      </c>
      <c r="J302" s="12" t="str">
        <f>HYPERLINK("https://www.boe.es/gazeta/dias/1804/09/04/pdfs/GMD-1804-71.pdf#page=3","Abrir facsímil")</f>
        <v>Abrir facsímil</v>
      </c>
      <c r="K302" s="15" t="s">
        <v>22</v>
      </c>
    </row>
    <row r="303" spans="1:11" ht="42" customHeight="1">
      <c r="A303" s="4" t="s">
        <v>869</v>
      </c>
      <c r="B303" s="5" t="s">
        <v>870</v>
      </c>
      <c r="C303" s="5" t="s">
        <v>27</v>
      </c>
      <c r="D303" s="5" t="s">
        <v>28</v>
      </c>
      <c r="E303" s="5" t="s">
        <v>678</v>
      </c>
      <c r="F303" s="9">
        <v>104</v>
      </c>
      <c r="G303" s="9">
        <v>1162</v>
      </c>
      <c r="H303" s="5" t="s">
        <v>20</v>
      </c>
      <c r="I303" s="5" t="s">
        <v>871</v>
      </c>
      <c r="J303" s="12" t="str">
        <f>HYPERLINK("https://www.boe.es/gazeta/dias/1804/12/28/pdfs/GMD-1804-104.pdf#page=10","Abrir facsímil")</f>
        <v>Abrir facsímil</v>
      </c>
      <c r="K303" s="15" t="s">
        <v>22</v>
      </c>
    </row>
    <row r="304" spans="1:11" ht="42" customHeight="1">
      <c r="A304" s="4" t="s">
        <v>872</v>
      </c>
      <c r="B304" s="5" t="s">
        <v>873</v>
      </c>
      <c r="C304" s="5" t="s">
        <v>27</v>
      </c>
      <c r="D304" s="5" t="s">
        <v>28</v>
      </c>
      <c r="E304" s="5" t="s">
        <v>332</v>
      </c>
      <c r="F304" s="9">
        <v>66</v>
      </c>
      <c r="G304" s="9">
        <v>740</v>
      </c>
      <c r="H304" s="5" t="s">
        <v>20</v>
      </c>
      <c r="I304" s="5" t="s">
        <v>874</v>
      </c>
      <c r="J304" s="12" t="str">
        <f>HYPERLINK("https://www.boe.es/gazeta/dias/1804/08/17/pdfs/GMD-1804-66.pdf#page=6","Abrir facsímil")</f>
        <v>Abrir facsímil</v>
      </c>
      <c r="K304" s="15" t="s">
        <v>22</v>
      </c>
    </row>
    <row r="305" spans="1:11" ht="42" customHeight="1">
      <c r="A305" s="4" t="s">
        <v>875</v>
      </c>
      <c r="B305" s="5" t="s">
        <v>876</v>
      </c>
      <c r="C305" s="5" t="s">
        <v>17</v>
      </c>
      <c r="D305" s="5" t="s">
        <v>18</v>
      </c>
      <c r="E305" s="5" t="s">
        <v>71</v>
      </c>
      <c r="F305" s="9">
        <v>99</v>
      </c>
      <c r="G305" s="9">
        <v>1106</v>
      </c>
      <c r="H305" s="5" t="s">
        <v>20</v>
      </c>
      <c r="I305" s="5" t="s">
        <v>877</v>
      </c>
      <c r="J305" s="12" t="str">
        <f>HYPERLINK("https://www.boe.es/gazeta/dias/1804/12/11/pdfs/GMD-1804-99.pdf#page=6","Abrir facsímil")</f>
        <v>Abrir facsímil</v>
      </c>
      <c r="K305" s="15" t="s">
        <v>22</v>
      </c>
    </row>
    <row r="306" spans="1:11" ht="42" customHeight="1">
      <c r="A306" s="4" t="s">
        <v>878</v>
      </c>
      <c r="B306" s="5" t="s">
        <v>879</v>
      </c>
      <c r="C306" s="5" t="s">
        <v>27</v>
      </c>
      <c r="D306" s="5" t="s">
        <v>28</v>
      </c>
      <c r="E306" s="5" t="s">
        <v>87</v>
      </c>
      <c r="F306" s="9">
        <v>9</v>
      </c>
      <c r="G306" s="9">
        <v>96</v>
      </c>
      <c r="H306" s="5" t="s">
        <v>20</v>
      </c>
      <c r="I306" s="5" t="s">
        <v>880</v>
      </c>
      <c r="J306" s="12" t="str">
        <f>HYPERLINK("https://www.boe.es/gazeta/dias/1804/01/31/pdfs/GMD-1804-9.pdf#page=8","Abrir facsímil")</f>
        <v>Abrir facsímil</v>
      </c>
      <c r="K306" s="15" t="s">
        <v>22</v>
      </c>
    </row>
    <row r="307" spans="1:11" ht="42" customHeight="1">
      <c r="A307" s="4" t="s">
        <v>881</v>
      </c>
      <c r="B307" s="5" t="s">
        <v>882</v>
      </c>
      <c r="C307" s="5" t="s">
        <v>27</v>
      </c>
      <c r="D307" s="5" t="s">
        <v>28</v>
      </c>
      <c r="E307" s="5" t="s">
        <v>317</v>
      </c>
      <c r="F307" s="9">
        <v>56</v>
      </c>
      <c r="G307" s="9">
        <v>620</v>
      </c>
      <c r="H307" s="5" t="s">
        <v>20</v>
      </c>
      <c r="I307" s="5" t="s">
        <v>883</v>
      </c>
      <c r="J307" s="12" t="str">
        <f>HYPERLINK("https://www.boe.es/gazeta/dias/1804/07/13/pdfs/GMD-1804-56.pdf#page=6","Abrir facsímil")</f>
        <v>Abrir facsímil</v>
      </c>
      <c r="K307" s="15" t="s">
        <v>22</v>
      </c>
    </row>
    <row r="308" spans="1:11" ht="42" customHeight="1">
      <c r="A308" s="4" t="s">
        <v>884</v>
      </c>
      <c r="B308" s="5" t="s">
        <v>885</v>
      </c>
      <c r="C308" s="5" t="s">
        <v>17</v>
      </c>
      <c r="D308" s="5" t="s">
        <v>18</v>
      </c>
      <c r="E308" s="5" t="s">
        <v>678</v>
      </c>
      <c r="F308" s="9">
        <v>104</v>
      </c>
      <c r="G308" s="9">
        <v>1158</v>
      </c>
      <c r="H308" s="5" t="s">
        <v>20</v>
      </c>
      <c r="I308" s="5" t="s">
        <v>886</v>
      </c>
      <c r="J308" s="12" t="str">
        <f>HYPERLINK("https://www.boe.es/gazeta/dias/1804/12/28/pdfs/GMD-1804-104.pdf#page=6","Abrir facsímil")</f>
        <v>Abrir facsímil</v>
      </c>
      <c r="K308" s="15" t="s">
        <v>22</v>
      </c>
    </row>
    <row r="309" spans="1:11" ht="42" customHeight="1">
      <c r="A309" s="4" t="s">
        <v>887</v>
      </c>
      <c r="B309" s="5" t="s">
        <v>888</v>
      </c>
      <c r="C309" s="5" t="s">
        <v>27</v>
      </c>
      <c r="D309" s="5" t="s">
        <v>28</v>
      </c>
      <c r="E309" s="5" t="s">
        <v>191</v>
      </c>
      <c r="F309" s="9">
        <v>101</v>
      </c>
      <c r="G309" s="9">
        <v>1123</v>
      </c>
      <c r="H309" s="5" t="s">
        <v>20</v>
      </c>
      <c r="I309" s="5" t="s">
        <v>889</v>
      </c>
      <c r="J309" s="12" t="str">
        <f>HYPERLINK("https://www.boe.es/gazeta/dias/1804/12/18/pdfs/GMD-1804-101.pdf#page=3","Abrir facsímil")</f>
        <v>Abrir facsímil</v>
      </c>
      <c r="K309" s="15" t="s">
        <v>22</v>
      </c>
    </row>
    <row r="310" spans="1:11" ht="42" customHeight="1">
      <c r="A310" s="4" t="s">
        <v>890</v>
      </c>
      <c r="B310" s="5" t="s">
        <v>891</v>
      </c>
      <c r="C310" s="5" t="s">
        <v>27</v>
      </c>
      <c r="D310" s="5" t="s">
        <v>28</v>
      </c>
      <c r="E310" s="5" t="s">
        <v>427</v>
      </c>
      <c r="F310" s="9">
        <v>80</v>
      </c>
      <c r="G310" s="9">
        <v>885</v>
      </c>
      <c r="H310" s="5" t="s">
        <v>20</v>
      </c>
      <c r="I310" s="5" t="s">
        <v>892</v>
      </c>
      <c r="J310" s="12" t="str">
        <f>HYPERLINK("https://www.boe.es/gazeta/dias/1804/10/05/pdfs/GMD-1804-80.pdf#page=3","Abrir facsímil")</f>
        <v>Abrir facsímil</v>
      </c>
      <c r="K310" s="15" t="s">
        <v>22</v>
      </c>
    </row>
    <row r="311" spans="1:11" ht="42" customHeight="1">
      <c r="A311" s="4" t="s">
        <v>893</v>
      </c>
      <c r="B311" s="5" t="s">
        <v>894</v>
      </c>
      <c r="C311" s="5" t="s">
        <v>57</v>
      </c>
      <c r="D311" s="5" t="s">
        <v>58</v>
      </c>
      <c r="E311" s="5" t="s">
        <v>50</v>
      </c>
      <c r="F311" s="9">
        <v>93</v>
      </c>
      <c r="G311" s="9">
        <v>1025</v>
      </c>
      <c r="H311" s="5" t="s">
        <v>20</v>
      </c>
      <c r="I311" s="5" t="s">
        <v>895</v>
      </c>
      <c r="J311" s="12" t="str">
        <f>HYPERLINK("https://www.boe.es/gazeta/dias/1804/11/20/pdfs/GMD-1804-93.pdf#page=1","Abrir facsímil")</f>
        <v>Abrir facsímil</v>
      </c>
      <c r="K311" s="15" t="s">
        <v>22</v>
      </c>
    </row>
    <row r="312" spans="1:11" ht="42" customHeight="1">
      <c r="A312" s="4" t="s">
        <v>896</v>
      </c>
      <c r="B312" s="5" t="s">
        <v>896</v>
      </c>
      <c r="C312" s="5" t="s">
        <v>57</v>
      </c>
      <c r="D312" s="5" t="s">
        <v>58</v>
      </c>
      <c r="E312" s="5" t="s">
        <v>222</v>
      </c>
      <c r="F312" s="9">
        <v>4</v>
      </c>
      <c r="G312" s="9">
        <v>37</v>
      </c>
      <c r="H312" s="5" t="s">
        <v>20</v>
      </c>
      <c r="I312" s="5" t="s">
        <v>897</v>
      </c>
      <c r="J312" s="12" t="str">
        <f>HYPERLINK("https://www.boe.es/gazeta/dias/1804/01/13/pdfs/GMD-1804-4.pdf#page=9","Abrir facsímil")</f>
        <v>Abrir facsímil</v>
      </c>
      <c r="K312" s="15" t="s">
        <v>22</v>
      </c>
    </row>
    <row r="313" spans="1:11" ht="42" customHeight="1">
      <c r="A313" s="4" t="s">
        <v>898</v>
      </c>
      <c r="B313" s="5" t="s">
        <v>899</v>
      </c>
      <c r="C313" s="5" t="s">
        <v>27</v>
      </c>
      <c r="D313" s="5" t="s">
        <v>28</v>
      </c>
      <c r="E313" s="5" t="s">
        <v>526</v>
      </c>
      <c r="F313" s="9">
        <v>95</v>
      </c>
      <c r="G313" s="9">
        <v>1056</v>
      </c>
      <c r="H313" s="5" t="s">
        <v>20</v>
      </c>
      <c r="I313" s="5" t="s">
        <v>900</v>
      </c>
      <c r="J313" s="12" t="str">
        <f>HYPERLINK("https://www.boe.es/gazeta/dias/1804/11/27/pdfs/GMD-1804-95.pdf#page=8","Abrir facsímil")</f>
        <v>Abrir facsímil</v>
      </c>
      <c r="K313" s="15" t="s">
        <v>22</v>
      </c>
    </row>
    <row r="314" spans="1:11" ht="42" customHeight="1">
      <c r="A314" s="4" t="s">
        <v>901</v>
      </c>
      <c r="B314" s="5" t="s">
        <v>902</v>
      </c>
      <c r="C314" s="5" t="s">
        <v>17</v>
      </c>
      <c r="D314" s="5" t="s">
        <v>18</v>
      </c>
      <c r="E314" s="5" t="s">
        <v>41</v>
      </c>
      <c r="F314" s="9">
        <v>24</v>
      </c>
      <c r="G314" s="9">
        <v>277</v>
      </c>
      <c r="H314" s="5" t="s">
        <v>20</v>
      </c>
      <c r="I314" s="5" t="s">
        <v>903</v>
      </c>
      <c r="J314" s="12" t="str">
        <f>HYPERLINK("https://www.boe.es/gazeta/dias/1804/03/23/pdfs/GMD-1804-24.pdf#page=11","Abrir facsímil")</f>
        <v>Abrir facsímil</v>
      </c>
      <c r="K314" s="15" t="s">
        <v>22</v>
      </c>
    </row>
    <row r="315" spans="1:11" ht="42" customHeight="1">
      <c r="A315" s="4" t="s">
        <v>904</v>
      </c>
      <c r="B315" s="5" t="s">
        <v>905</v>
      </c>
      <c r="C315" s="5" t="s">
        <v>27</v>
      </c>
      <c r="D315" s="5" t="s">
        <v>28</v>
      </c>
      <c r="E315" s="5" t="s">
        <v>91</v>
      </c>
      <c r="F315" s="9">
        <v>72</v>
      </c>
      <c r="G315" s="9">
        <v>806</v>
      </c>
      <c r="H315" s="5" t="s">
        <v>20</v>
      </c>
      <c r="I315" s="5" t="s">
        <v>906</v>
      </c>
      <c r="J315" s="12" t="str">
        <f>HYPERLINK("https://www.boe.es/gazeta/dias/1804/09/07/pdfs/GMD-1804-72.pdf#page=8","Abrir facsímil")</f>
        <v>Abrir facsímil</v>
      </c>
      <c r="K315" s="15" t="s">
        <v>22</v>
      </c>
    </row>
    <row r="316" spans="1:11" ht="42" customHeight="1">
      <c r="A316" s="4" t="s">
        <v>907</v>
      </c>
      <c r="B316" s="5" t="s">
        <v>907</v>
      </c>
      <c r="C316" s="5" t="s">
        <v>65</v>
      </c>
      <c r="D316" s="5" t="s">
        <v>66</v>
      </c>
      <c r="E316" s="5" t="s">
        <v>526</v>
      </c>
      <c r="F316" s="9">
        <v>95</v>
      </c>
      <c r="G316" s="9">
        <v>1054</v>
      </c>
      <c r="H316" s="5" t="s">
        <v>20</v>
      </c>
      <c r="I316" s="5" t="s">
        <v>908</v>
      </c>
      <c r="J316" s="12" t="str">
        <f>HYPERLINK("https://www.boe.es/gazeta/dias/1804/11/27/pdfs/GMD-1804-95.pdf#page=6","Abrir facsímil")</f>
        <v>Abrir facsímil</v>
      </c>
      <c r="K316" s="15" t="s">
        <v>22</v>
      </c>
    </row>
    <row r="317" spans="1:11" ht="42" customHeight="1">
      <c r="A317" s="4" t="s">
        <v>909</v>
      </c>
      <c r="B317" s="5" t="s">
        <v>909</v>
      </c>
      <c r="C317" s="5" t="s">
        <v>85</v>
      </c>
      <c r="D317" s="5" t="s">
        <v>86</v>
      </c>
      <c r="E317" s="5" t="s">
        <v>91</v>
      </c>
      <c r="F317" s="9">
        <v>72</v>
      </c>
      <c r="G317" s="9">
        <v>810</v>
      </c>
      <c r="H317" s="5" t="s">
        <v>20</v>
      </c>
      <c r="I317" s="5" t="s">
        <v>910</v>
      </c>
      <c r="J317" s="12" t="str">
        <f>HYPERLINK("https://www.boe.es/gazeta/dias/1804/09/07/pdfs/GMD-1804-72.pdf#page=12","Abrir facsímil")</f>
        <v>Abrir facsímil</v>
      </c>
      <c r="K317" s="15" t="s">
        <v>22</v>
      </c>
    </row>
    <row r="318" spans="1:11" ht="42" customHeight="1">
      <c r="A318" s="4" t="s">
        <v>911</v>
      </c>
      <c r="B318" s="5" t="s">
        <v>911</v>
      </c>
      <c r="C318" s="5" t="s">
        <v>57</v>
      </c>
      <c r="D318" s="5" t="s">
        <v>58</v>
      </c>
      <c r="E318" s="5" t="s">
        <v>59</v>
      </c>
      <c r="F318" s="9">
        <v>55</v>
      </c>
      <c r="G318" s="9">
        <v>607</v>
      </c>
      <c r="H318" s="5" t="s">
        <v>20</v>
      </c>
      <c r="I318" s="5" t="s">
        <v>912</v>
      </c>
      <c r="J318" s="12" t="str">
        <f>HYPERLINK("https://www.boe.es/gazeta/dias/1804/07/10/pdfs/GMD-1804-55.pdf#page=5","Abrir facsímil")</f>
        <v>Abrir facsímil</v>
      </c>
      <c r="K318" s="15" t="s">
        <v>22</v>
      </c>
    </row>
    <row r="319" spans="1:11" ht="42" customHeight="1">
      <c r="A319" s="4" t="s">
        <v>913</v>
      </c>
      <c r="B319" s="5" t="s">
        <v>913</v>
      </c>
      <c r="C319" s="5" t="s">
        <v>57</v>
      </c>
      <c r="D319" s="5" t="s">
        <v>58</v>
      </c>
      <c r="E319" s="5" t="s">
        <v>59</v>
      </c>
      <c r="F319" s="9">
        <v>55</v>
      </c>
      <c r="G319" s="9">
        <v>607</v>
      </c>
      <c r="H319" s="5" t="s">
        <v>20</v>
      </c>
      <c r="I319" s="5" t="s">
        <v>914</v>
      </c>
      <c r="J319" s="12" t="str">
        <f>HYPERLINK("https://www.boe.es/gazeta/dias/1804/07/10/pdfs/GMD-1804-55.pdf#page=5","Abrir facsímil")</f>
        <v>Abrir facsímil</v>
      </c>
      <c r="K319" s="15" t="s">
        <v>22</v>
      </c>
    </row>
    <row r="320" spans="1:11" ht="42" customHeight="1">
      <c r="A320" s="4" t="s">
        <v>915</v>
      </c>
      <c r="B320" s="5" t="s">
        <v>915</v>
      </c>
      <c r="C320" s="5" t="s">
        <v>17</v>
      </c>
      <c r="D320" s="5" t="s">
        <v>18</v>
      </c>
      <c r="E320" s="5" t="s">
        <v>29</v>
      </c>
      <c r="F320" s="9">
        <v>88</v>
      </c>
      <c r="G320" s="9">
        <v>969</v>
      </c>
      <c r="H320" s="5" t="s">
        <v>20</v>
      </c>
      <c r="I320" s="5" t="s">
        <v>916</v>
      </c>
      <c r="J320" s="12" t="str">
        <f>HYPERLINK("https://www.boe.es/gazeta/dias/1804/11/02/pdfs/GMD-1804-88.pdf#page=1","Abrir facsímil")</f>
        <v>Abrir facsímil</v>
      </c>
      <c r="K320" s="15" t="s">
        <v>22</v>
      </c>
    </row>
    <row r="321" spans="1:11" ht="42" customHeight="1">
      <c r="A321" s="4" t="s">
        <v>917</v>
      </c>
      <c r="B321" s="5" t="s">
        <v>918</v>
      </c>
      <c r="C321" s="5" t="s">
        <v>27</v>
      </c>
      <c r="D321" s="5" t="s">
        <v>28</v>
      </c>
      <c r="E321" s="5" t="s">
        <v>666</v>
      </c>
      <c r="F321" s="9">
        <v>57</v>
      </c>
      <c r="G321" s="9">
        <v>632</v>
      </c>
      <c r="H321" s="5" t="s">
        <v>20</v>
      </c>
      <c r="I321" s="5" t="s">
        <v>919</v>
      </c>
      <c r="J321" s="12" t="str">
        <f>HYPERLINK("https://www.boe.es/gazeta/dias/1804/07/17/pdfs/GMD-1804-57.pdf#page=10","Abrir facsímil")</f>
        <v>Abrir facsímil</v>
      </c>
      <c r="K321" s="15" t="s">
        <v>22</v>
      </c>
    </row>
    <row r="322" spans="1:11" ht="42" customHeight="1">
      <c r="A322" s="4" t="s">
        <v>920</v>
      </c>
      <c r="B322" s="5" t="s">
        <v>921</v>
      </c>
      <c r="C322" s="5" t="s">
        <v>65</v>
      </c>
      <c r="D322" s="5" t="s">
        <v>66</v>
      </c>
      <c r="E322" s="5" t="s">
        <v>216</v>
      </c>
      <c r="F322" s="9">
        <v>67</v>
      </c>
      <c r="G322" s="9">
        <v>750</v>
      </c>
      <c r="H322" s="5" t="s">
        <v>20</v>
      </c>
      <c r="I322" s="5" t="s">
        <v>922</v>
      </c>
      <c r="J322" s="12" t="str">
        <f>HYPERLINK("https://www.boe.es/gazeta/dias/1804/08/21/pdfs/GMD-1804-67.pdf#page=8","Abrir facsímil")</f>
        <v>Abrir facsímil</v>
      </c>
      <c r="K322" s="15" t="s">
        <v>22</v>
      </c>
    </row>
    <row r="323" spans="1:11" ht="42" customHeight="1">
      <c r="A323" s="4" t="s">
        <v>923</v>
      </c>
      <c r="B323" s="5" t="s">
        <v>924</v>
      </c>
      <c r="C323" s="5" t="s">
        <v>27</v>
      </c>
      <c r="D323" s="5" t="s">
        <v>28</v>
      </c>
      <c r="E323" s="5" t="s">
        <v>163</v>
      </c>
      <c r="F323" s="9">
        <v>70</v>
      </c>
      <c r="G323" s="9">
        <v>779</v>
      </c>
      <c r="H323" s="5" t="s">
        <v>20</v>
      </c>
      <c r="I323" s="5" t="s">
        <v>925</v>
      </c>
      <c r="J323" s="12" t="str">
        <f>HYPERLINK("https://www.boe.es/gazeta/dias/1804/08/31/pdfs/GMD-1804-70.pdf#page=1","Abrir facsímil")</f>
        <v>Abrir facsímil</v>
      </c>
      <c r="K323" s="15" t="s">
        <v>22</v>
      </c>
    </row>
    <row r="324" spans="1:11" ht="42" customHeight="1">
      <c r="A324" s="4" t="s">
        <v>926</v>
      </c>
      <c r="B324" s="5" t="s">
        <v>927</v>
      </c>
      <c r="C324" s="5" t="s">
        <v>65</v>
      </c>
      <c r="D324" s="5" t="s">
        <v>66</v>
      </c>
      <c r="E324" s="5" t="s">
        <v>132</v>
      </c>
      <c r="F324" s="9">
        <v>52</v>
      </c>
      <c r="G324" s="9">
        <v>573</v>
      </c>
      <c r="H324" s="5" t="s">
        <v>20</v>
      </c>
      <c r="I324" s="5" t="s">
        <v>928</v>
      </c>
      <c r="J324" s="12" t="str">
        <f>HYPERLINK("https://www.boe.es/gazeta/dias/1804/06/29/pdfs/GMD-1804-52.pdf#page=7","Abrir facsímil")</f>
        <v>Abrir facsímil</v>
      </c>
      <c r="K324" s="15" t="s">
        <v>22</v>
      </c>
    </row>
    <row r="325" spans="1:11" ht="42" customHeight="1">
      <c r="A325" s="4" t="s">
        <v>926</v>
      </c>
      <c r="B325" s="5" t="s">
        <v>927</v>
      </c>
      <c r="C325" s="5" t="s">
        <v>65</v>
      </c>
      <c r="D325" s="5" t="s">
        <v>66</v>
      </c>
      <c r="E325" s="5" t="s">
        <v>666</v>
      </c>
      <c r="F325" s="9">
        <v>57</v>
      </c>
      <c r="G325" s="9">
        <v>632</v>
      </c>
      <c r="H325" s="5" t="s">
        <v>20</v>
      </c>
      <c r="I325" s="5" t="s">
        <v>929</v>
      </c>
      <c r="J325" s="12" t="str">
        <f>HYPERLINK("https://www.boe.es/gazeta/dias/1804/07/17/pdfs/GMD-1804-57.pdf#page=10","Abrir facsímil")</f>
        <v>Abrir facsímil</v>
      </c>
      <c r="K325" s="15" t="s">
        <v>22</v>
      </c>
    </row>
    <row r="326" spans="1:11" ht="42" customHeight="1">
      <c r="A326" s="4" t="s">
        <v>930</v>
      </c>
      <c r="B326" s="5" t="s">
        <v>931</v>
      </c>
      <c r="C326" s="5" t="s">
        <v>27</v>
      </c>
      <c r="D326" s="5" t="s">
        <v>28</v>
      </c>
      <c r="E326" s="5" t="s">
        <v>264</v>
      </c>
      <c r="F326" s="9">
        <v>49</v>
      </c>
      <c r="G326" s="9">
        <v>544</v>
      </c>
      <c r="H326" s="5" t="s">
        <v>20</v>
      </c>
      <c r="I326" s="5" t="s">
        <v>932</v>
      </c>
      <c r="J326" s="12" t="str">
        <f>HYPERLINK("https://www.boe.es/gazeta/dias/1804/06/19/pdfs/GMD-1804-49.pdf#page=6","Abrir facsímil")</f>
        <v>Abrir facsímil</v>
      </c>
      <c r="K326" s="15" t="s">
        <v>22</v>
      </c>
    </row>
    <row r="327" spans="1:11" ht="42" customHeight="1">
      <c r="A327" s="4" t="s">
        <v>933</v>
      </c>
      <c r="B327" s="5" t="s">
        <v>934</v>
      </c>
      <c r="C327" s="5" t="s">
        <v>27</v>
      </c>
      <c r="D327" s="5" t="s">
        <v>28</v>
      </c>
      <c r="E327" s="5" t="s">
        <v>23</v>
      </c>
      <c r="F327" s="9">
        <v>91</v>
      </c>
      <c r="G327" s="9">
        <v>1009</v>
      </c>
      <c r="H327" s="5" t="s">
        <v>20</v>
      </c>
      <c r="I327" s="5" t="s">
        <v>935</v>
      </c>
      <c r="J327" s="12" t="str">
        <f>HYPERLINK("https://www.boe.es/gazeta/dias/1804/11/13/pdfs/GMD-1804-91.pdf#page=9","Abrir facsímil")</f>
        <v>Abrir facsímil</v>
      </c>
      <c r="K327" s="15" t="s">
        <v>22</v>
      </c>
    </row>
    <row r="328" spans="1:11" ht="42" customHeight="1">
      <c r="A328" s="4" t="s">
        <v>936</v>
      </c>
      <c r="B328" s="5" t="s">
        <v>937</v>
      </c>
      <c r="C328" s="5" t="s">
        <v>27</v>
      </c>
      <c r="D328" s="5" t="s">
        <v>28</v>
      </c>
      <c r="E328" s="5" t="s">
        <v>172</v>
      </c>
      <c r="F328" s="9">
        <v>38</v>
      </c>
      <c r="G328" s="9">
        <v>424</v>
      </c>
      <c r="H328" s="5" t="s">
        <v>20</v>
      </c>
      <c r="I328" s="5" t="s">
        <v>938</v>
      </c>
      <c r="J328" s="12" t="str">
        <f>HYPERLINK("https://www.boe.es/gazeta/dias/1804/05/11/pdfs/GMD-1804-38.pdf#page=10","Abrir facsímil")</f>
        <v>Abrir facsímil</v>
      </c>
      <c r="K328" s="15" t="s">
        <v>22</v>
      </c>
    </row>
    <row r="329" spans="1:11" ht="42" customHeight="1">
      <c r="A329" s="4" t="s">
        <v>939</v>
      </c>
      <c r="B329" s="5" t="s">
        <v>940</v>
      </c>
      <c r="C329" s="5" t="s">
        <v>27</v>
      </c>
      <c r="D329" s="5" t="s">
        <v>28</v>
      </c>
      <c r="E329" s="5" t="s">
        <v>378</v>
      </c>
      <c r="F329" s="9">
        <v>65</v>
      </c>
      <c r="G329" s="9">
        <v>727</v>
      </c>
      <c r="H329" s="5" t="s">
        <v>20</v>
      </c>
      <c r="I329" s="5" t="s">
        <v>941</v>
      </c>
      <c r="J329" s="12" t="str">
        <f>HYPERLINK("https://www.boe.es/gazeta/dias/1804/08/14/pdfs/GMD-1804-65.pdf#page=5","Abrir facsímil")</f>
        <v>Abrir facsímil</v>
      </c>
      <c r="K329" s="15" t="s">
        <v>22</v>
      </c>
    </row>
    <row r="330" spans="1:11" ht="42" customHeight="1">
      <c r="A330" s="4" t="s">
        <v>942</v>
      </c>
      <c r="B330" s="5" t="s">
        <v>943</v>
      </c>
      <c r="C330" s="5" t="s">
        <v>65</v>
      </c>
      <c r="D330" s="5" t="s">
        <v>66</v>
      </c>
      <c r="E330" s="5" t="s">
        <v>666</v>
      </c>
      <c r="F330" s="9">
        <v>57</v>
      </c>
      <c r="G330" s="9">
        <v>632</v>
      </c>
      <c r="H330" s="5" t="s">
        <v>20</v>
      </c>
      <c r="I330" s="5" t="s">
        <v>944</v>
      </c>
      <c r="J330" s="12" t="str">
        <f>HYPERLINK("https://www.boe.es/gazeta/dias/1804/07/17/pdfs/GMD-1804-57.pdf#page=10","Abrir facsímil")</f>
        <v>Abrir facsímil</v>
      </c>
      <c r="K330" s="15" t="s">
        <v>22</v>
      </c>
    </row>
    <row r="331" spans="1:11" ht="42" customHeight="1">
      <c r="A331" s="4" t="s">
        <v>945</v>
      </c>
      <c r="B331" s="5" t="s">
        <v>945</v>
      </c>
      <c r="C331" s="5" t="s">
        <v>120</v>
      </c>
      <c r="D331" s="5" t="s">
        <v>121</v>
      </c>
      <c r="E331" s="5" t="s">
        <v>33</v>
      </c>
      <c r="F331" s="9">
        <v>48</v>
      </c>
      <c r="G331" s="9" t="s">
        <v>285</v>
      </c>
      <c r="H331" s="5" t="s">
        <v>20</v>
      </c>
      <c r="I331" s="5" t="s">
        <v>946</v>
      </c>
      <c r="J331" s="12" t="str">
        <f>HYPERLINK("https://www.boe.es/gazeta/dias/1804/06/15/pdfs/GMD-C-1804-48.pdf#page=2","Abrir facsímil")</f>
        <v>Abrir facsímil</v>
      </c>
      <c r="K331" s="15" t="s">
        <v>22</v>
      </c>
    </row>
    <row r="332" spans="1:11" ht="42" customHeight="1">
      <c r="A332" s="4" t="s">
        <v>947</v>
      </c>
      <c r="B332" s="5" t="s">
        <v>947</v>
      </c>
      <c r="C332" s="5" t="s">
        <v>85</v>
      </c>
      <c r="D332" s="5" t="s">
        <v>86</v>
      </c>
      <c r="E332" s="5" t="s">
        <v>182</v>
      </c>
      <c r="F332" s="9">
        <v>21</v>
      </c>
      <c r="G332" s="9">
        <v>236</v>
      </c>
      <c r="H332" s="5" t="s">
        <v>20</v>
      </c>
      <c r="I332" s="5" t="s">
        <v>948</v>
      </c>
      <c r="J332" s="12" t="str">
        <f>HYPERLINK("https://www.boe.es/gazeta/dias/1804/03/13/pdfs/GMD-1804-21.pdf#page=12","Abrir facsímil")</f>
        <v>Abrir facsímil</v>
      </c>
      <c r="K332" s="15" t="s">
        <v>22</v>
      </c>
    </row>
    <row r="333" spans="1:11" ht="42" customHeight="1">
      <c r="A333" s="4" t="s">
        <v>947</v>
      </c>
      <c r="B333" s="5" t="s">
        <v>947</v>
      </c>
      <c r="C333" s="5" t="s">
        <v>85</v>
      </c>
      <c r="D333" s="5" t="s">
        <v>86</v>
      </c>
      <c r="E333" s="5" t="s">
        <v>136</v>
      </c>
      <c r="F333" s="9">
        <v>23</v>
      </c>
      <c r="G333" s="9">
        <v>265</v>
      </c>
      <c r="H333" s="5" t="s">
        <v>20</v>
      </c>
      <c r="I333" s="5" t="s">
        <v>949</v>
      </c>
      <c r="J333" s="12" t="str">
        <f>HYPERLINK("https://www.boe.es/gazeta/dias/1804/03/20/pdfs/GMD-1804-23.pdf#page=11","Abrir facsímil")</f>
        <v>Abrir facsímil</v>
      </c>
      <c r="K333" s="15" t="s">
        <v>22</v>
      </c>
    </row>
    <row r="334" spans="1:11" ht="42" customHeight="1">
      <c r="A334" s="4" t="s">
        <v>947</v>
      </c>
      <c r="B334" s="5" t="s">
        <v>947</v>
      </c>
      <c r="C334" s="5" t="s">
        <v>85</v>
      </c>
      <c r="D334" s="5" t="s">
        <v>86</v>
      </c>
      <c r="E334" s="5" t="s">
        <v>950</v>
      </c>
      <c r="F334" s="9">
        <v>90</v>
      </c>
      <c r="G334" s="9">
        <v>1000</v>
      </c>
      <c r="H334" s="5" t="s">
        <v>20</v>
      </c>
      <c r="I334" s="5" t="s">
        <v>951</v>
      </c>
      <c r="J334" s="12" t="str">
        <f>HYPERLINK("https://www.boe.es/gazeta/dias/1804/11/09/pdfs/GMD-1804-90.pdf#page=8","Abrir facsímil")</f>
        <v>Abrir facsímil</v>
      </c>
      <c r="K334" s="15" t="s">
        <v>22</v>
      </c>
    </row>
    <row r="335" spans="1:11" ht="42" customHeight="1">
      <c r="A335" s="4" t="s">
        <v>952</v>
      </c>
      <c r="B335" s="5" t="s">
        <v>953</v>
      </c>
      <c r="C335" s="5" t="s">
        <v>17</v>
      </c>
      <c r="D335" s="5" t="s">
        <v>18</v>
      </c>
      <c r="E335" s="5" t="s">
        <v>91</v>
      </c>
      <c r="F335" s="9">
        <v>72</v>
      </c>
      <c r="G335" s="9">
        <v>807</v>
      </c>
      <c r="H335" s="5" t="s">
        <v>20</v>
      </c>
      <c r="I335" s="5" t="s">
        <v>954</v>
      </c>
      <c r="J335" s="12" t="str">
        <f>HYPERLINK("https://www.boe.es/gazeta/dias/1804/09/07/pdfs/GMD-1804-72.pdf#page=9","Abrir facsímil")</f>
        <v>Abrir facsímil</v>
      </c>
      <c r="K335" s="15" t="s">
        <v>22</v>
      </c>
    </row>
    <row r="336" spans="1:11" ht="42" customHeight="1">
      <c r="A336" s="4" t="s">
        <v>955</v>
      </c>
      <c r="B336" s="5" t="s">
        <v>956</v>
      </c>
      <c r="C336" s="5" t="s">
        <v>57</v>
      </c>
      <c r="D336" s="5" t="s">
        <v>58</v>
      </c>
      <c r="E336" s="5" t="s">
        <v>77</v>
      </c>
      <c r="F336" s="9">
        <v>32</v>
      </c>
      <c r="G336" s="9">
        <v>353</v>
      </c>
      <c r="H336" s="5" t="s">
        <v>20</v>
      </c>
      <c r="I336" s="5" t="s">
        <v>957</v>
      </c>
      <c r="J336" s="12" t="str">
        <f>HYPERLINK("https://www.boe.es/gazeta/dias/1804/04/20/pdfs/GMD-1804-32.pdf#page=7","Abrir facsímil")</f>
        <v>Abrir facsímil</v>
      </c>
      <c r="K336" s="15" t="s">
        <v>22</v>
      </c>
    </row>
    <row r="337" spans="1:11" ht="42" customHeight="1">
      <c r="A337" s="4" t="s">
        <v>958</v>
      </c>
      <c r="B337" s="5" t="s">
        <v>959</v>
      </c>
      <c r="C337" s="5" t="s">
        <v>27</v>
      </c>
      <c r="D337" s="5" t="s">
        <v>28</v>
      </c>
      <c r="E337" s="5" t="s">
        <v>678</v>
      </c>
      <c r="F337" s="9">
        <v>104</v>
      </c>
      <c r="G337" s="9">
        <v>1163</v>
      </c>
      <c r="H337" s="5" t="s">
        <v>20</v>
      </c>
      <c r="I337" s="5" t="s">
        <v>960</v>
      </c>
      <c r="J337" s="12" t="str">
        <f>HYPERLINK("https://www.boe.es/gazeta/dias/1804/12/28/pdfs/GMD-1804-104.pdf#page=11","Abrir facsímil")</f>
        <v>Abrir facsímil</v>
      </c>
      <c r="K337" s="15" t="s">
        <v>22</v>
      </c>
    </row>
    <row r="338" spans="1:11" ht="42" customHeight="1">
      <c r="A338" s="4" t="s">
        <v>961</v>
      </c>
      <c r="B338" s="5" t="s">
        <v>962</v>
      </c>
      <c r="C338" s="5" t="s">
        <v>198</v>
      </c>
      <c r="D338" s="5" t="s">
        <v>66</v>
      </c>
      <c r="E338" s="5" t="s">
        <v>576</v>
      </c>
      <c r="F338" s="9">
        <v>85</v>
      </c>
      <c r="G338" s="9">
        <v>933</v>
      </c>
      <c r="H338" s="5" t="s">
        <v>20</v>
      </c>
      <c r="I338" s="5" t="s">
        <v>963</v>
      </c>
      <c r="J338" s="12" t="str">
        <f>HYPERLINK("https://www.boe.es/gazeta/dias/1804/10/23/pdfs/GMD-1804-85.pdf#page=3","Abrir facsímil")</f>
        <v>Abrir facsímil</v>
      </c>
      <c r="K338" s="15" t="s">
        <v>22</v>
      </c>
    </row>
    <row r="339" spans="1:11" ht="42" customHeight="1">
      <c r="A339" s="4" t="s">
        <v>964</v>
      </c>
      <c r="B339" s="5" t="s">
        <v>965</v>
      </c>
      <c r="C339" s="5" t="s">
        <v>57</v>
      </c>
      <c r="D339" s="5" t="s">
        <v>58</v>
      </c>
      <c r="E339" s="5" t="s">
        <v>388</v>
      </c>
      <c r="F339" s="9">
        <v>18</v>
      </c>
      <c r="G339" s="9">
        <v>190</v>
      </c>
      <c r="H339" s="5" t="s">
        <v>20</v>
      </c>
      <c r="I339" s="5" t="s">
        <v>966</v>
      </c>
      <c r="J339" s="12" t="str">
        <f>HYPERLINK("https://www.boe.es/gazeta/dias/1804/03/02/pdfs/GMD-1804-18.pdf#page=2","Abrir facsímil")</f>
        <v>Abrir facsímil</v>
      </c>
      <c r="K339" s="15" t="s">
        <v>22</v>
      </c>
    </row>
    <row r="340" spans="1:11" ht="42" customHeight="1">
      <c r="A340" s="4" t="s">
        <v>967</v>
      </c>
      <c r="B340" s="5" t="s">
        <v>968</v>
      </c>
      <c r="C340" s="5" t="s">
        <v>27</v>
      </c>
      <c r="D340" s="5" t="s">
        <v>28</v>
      </c>
      <c r="E340" s="5" t="s">
        <v>33</v>
      </c>
      <c r="F340" s="9">
        <v>48</v>
      </c>
      <c r="G340" s="9">
        <v>537</v>
      </c>
      <c r="H340" s="5" t="s">
        <v>20</v>
      </c>
      <c r="I340" s="5" t="s">
        <v>969</v>
      </c>
      <c r="J340" s="12" t="str">
        <f>HYPERLINK("https://www.boe.es/gazeta/dias/1804/06/15/pdfs/GMD-1804-48.pdf#page=7","Abrir facsímil")</f>
        <v>Abrir facsímil</v>
      </c>
      <c r="K340" s="15" t="s">
        <v>22</v>
      </c>
    </row>
    <row r="341" spans="1:11" ht="42" customHeight="1">
      <c r="A341" s="4" t="s">
        <v>970</v>
      </c>
      <c r="B341" s="5" t="s">
        <v>971</v>
      </c>
      <c r="C341" s="5" t="s">
        <v>85</v>
      </c>
      <c r="D341" s="5" t="s">
        <v>86</v>
      </c>
      <c r="E341" s="5" t="s">
        <v>241</v>
      </c>
      <c r="F341" s="9">
        <v>71</v>
      </c>
      <c r="G341" s="9">
        <v>794</v>
      </c>
      <c r="H341" s="5" t="s">
        <v>20</v>
      </c>
      <c r="I341" s="5" t="s">
        <v>972</v>
      </c>
      <c r="J341" s="12" t="str">
        <f>HYPERLINK("https://www.boe.es/gazeta/dias/1804/09/04/pdfs/GMD-1804-71.pdf#page=8","Abrir facsímil")</f>
        <v>Abrir facsímil</v>
      </c>
      <c r="K341" s="15" t="s">
        <v>22</v>
      </c>
    </row>
    <row r="342" spans="1:11" ht="42" customHeight="1">
      <c r="A342" s="4" t="s">
        <v>973</v>
      </c>
      <c r="B342" s="5" t="s">
        <v>974</v>
      </c>
      <c r="C342" s="5" t="s">
        <v>27</v>
      </c>
      <c r="D342" s="5" t="s">
        <v>28</v>
      </c>
      <c r="E342" s="5" t="s">
        <v>678</v>
      </c>
      <c r="F342" s="9">
        <v>104</v>
      </c>
      <c r="G342" s="9">
        <v>1162</v>
      </c>
      <c r="H342" s="5" t="s">
        <v>20</v>
      </c>
      <c r="I342" s="5" t="s">
        <v>975</v>
      </c>
      <c r="J342" s="12" t="str">
        <f>HYPERLINK("https://www.boe.es/gazeta/dias/1804/12/28/pdfs/GMD-1804-104.pdf#page=10","Abrir facsímil")</f>
        <v>Abrir facsímil</v>
      </c>
      <c r="K342" s="15" t="s">
        <v>22</v>
      </c>
    </row>
    <row r="343" spans="1:11" ht="42" customHeight="1">
      <c r="A343" s="4" t="s">
        <v>976</v>
      </c>
      <c r="B343" s="5" t="s">
        <v>977</v>
      </c>
      <c r="C343" s="5" t="s">
        <v>27</v>
      </c>
      <c r="D343" s="5" t="s">
        <v>28</v>
      </c>
      <c r="E343" s="5" t="s">
        <v>206</v>
      </c>
      <c r="F343" s="9">
        <v>44</v>
      </c>
      <c r="G343" s="9">
        <v>488</v>
      </c>
      <c r="H343" s="5" t="s">
        <v>20</v>
      </c>
      <c r="I343" s="5" t="s">
        <v>978</v>
      </c>
      <c r="J343" s="12" t="str">
        <f>HYPERLINK("https://www.boe.es/gazeta/dias/1804/06/01/pdfs/GMD-1804-44.pdf#page=6","Abrir facsímil")</f>
        <v>Abrir facsímil</v>
      </c>
      <c r="K343" s="15" t="s">
        <v>22</v>
      </c>
    </row>
    <row r="344" spans="1:11" ht="42" customHeight="1">
      <c r="A344" s="4" t="s">
        <v>976</v>
      </c>
      <c r="B344" s="5" t="s">
        <v>977</v>
      </c>
      <c r="C344" s="5" t="s">
        <v>27</v>
      </c>
      <c r="D344" s="5" t="s">
        <v>28</v>
      </c>
      <c r="E344" s="5" t="s">
        <v>950</v>
      </c>
      <c r="F344" s="9">
        <v>90</v>
      </c>
      <c r="G344" s="9">
        <v>999</v>
      </c>
      <c r="H344" s="5" t="s">
        <v>20</v>
      </c>
      <c r="I344" s="5" t="s">
        <v>979</v>
      </c>
      <c r="J344" s="12" t="str">
        <f>HYPERLINK("https://www.boe.es/gazeta/dias/1804/11/09/pdfs/GMD-1804-90.pdf#page=7","Abrir facsímil")</f>
        <v>Abrir facsímil</v>
      </c>
      <c r="K344" s="15" t="s">
        <v>22</v>
      </c>
    </row>
    <row r="345" spans="1:11" ht="42" customHeight="1">
      <c r="A345" s="4" t="s">
        <v>980</v>
      </c>
      <c r="B345" s="5" t="s">
        <v>981</v>
      </c>
      <c r="C345" s="5" t="s">
        <v>65</v>
      </c>
      <c r="D345" s="5" t="s">
        <v>66</v>
      </c>
      <c r="E345" s="5" t="s">
        <v>208</v>
      </c>
      <c r="F345" s="9">
        <v>97</v>
      </c>
      <c r="G345" s="9">
        <v>1081</v>
      </c>
      <c r="H345" s="5" t="s">
        <v>20</v>
      </c>
      <c r="I345" s="5" t="s">
        <v>982</v>
      </c>
      <c r="J345" s="12" t="str">
        <f>HYPERLINK("https://www.boe.es/gazeta/dias/1804/12/04/pdfs/GMD-1804-97.pdf#page=9","Abrir facsímil")</f>
        <v>Abrir facsímil</v>
      </c>
      <c r="K345" s="15" t="s">
        <v>22</v>
      </c>
    </row>
    <row r="346" spans="1:11" ht="42" customHeight="1">
      <c r="A346" s="4" t="s">
        <v>983</v>
      </c>
      <c r="B346" s="5" t="s">
        <v>984</v>
      </c>
      <c r="C346" s="5" t="s">
        <v>65</v>
      </c>
      <c r="D346" s="5" t="s">
        <v>66</v>
      </c>
      <c r="E346" s="5" t="s">
        <v>453</v>
      </c>
      <c r="F346" s="9">
        <v>33</v>
      </c>
      <c r="G346" s="9">
        <v>366</v>
      </c>
      <c r="H346" s="5" t="s">
        <v>20</v>
      </c>
      <c r="I346" s="5" t="s">
        <v>985</v>
      </c>
      <c r="J346" s="12" t="str">
        <f>HYPERLINK("https://www.boe.es/gazeta/dias/1804/04/24/pdfs/GMD-1804-33.pdf#page=8","Abrir facsímil")</f>
        <v>Abrir facsímil</v>
      </c>
      <c r="K346" s="15" t="s">
        <v>22</v>
      </c>
    </row>
    <row r="347" spans="1:11" ht="42" customHeight="1">
      <c r="A347" s="4" t="s">
        <v>986</v>
      </c>
      <c r="B347" s="5" t="s">
        <v>987</v>
      </c>
      <c r="C347" s="5" t="s">
        <v>27</v>
      </c>
      <c r="D347" s="5" t="s">
        <v>28</v>
      </c>
      <c r="E347" s="5" t="s">
        <v>308</v>
      </c>
      <c r="F347" s="9">
        <v>96</v>
      </c>
      <c r="G347" s="9">
        <v>1068</v>
      </c>
      <c r="H347" s="5" t="s">
        <v>20</v>
      </c>
      <c r="I347" s="5" t="s">
        <v>988</v>
      </c>
      <c r="J347" s="12" t="str">
        <f>HYPERLINK("https://www.boe.es/gazeta/dias/1804/11/30/pdfs/GMD-1804-96.pdf#page=8","Abrir facsímil")</f>
        <v>Abrir facsímil</v>
      </c>
      <c r="K347" s="15" t="s">
        <v>22</v>
      </c>
    </row>
    <row r="348" spans="1:11" ht="42" customHeight="1">
      <c r="A348" s="4" t="s">
        <v>989</v>
      </c>
      <c r="B348" s="5" t="s">
        <v>990</v>
      </c>
      <c r="C348" s="5" t="s">
        <v>65</v>
      </c>
      <c r="D348" s="5" t="s">
        <v>66</v>
      </c>
      <c r="E348" s="5" t="s">
        <v>317</v>
      </c>
      <c r="F348" s="9">
        <v>56</v>
      </c>
      <c r="G348" s="9">
        <v>620</v>
      </c>
      <c r="H348" s="5" t="s">
        <v>20</v>
      </c>
      <c r="I348" s="5" t="s">
        <v>991</v>
      </c>
      <c r="J348" s="12" t="str">
        <f>HYPERLINK("https://www.boe.es/gazeta/dias/1804/07/13/pdfs/GMD-1804-56.pdf#page=6","Abrir facsímil")</f>
        <v>Abrir facsímil</v>
      </c>
      <c r="K348" s="15" t="s">
        <v>22</v>
      </c>
    </row>
    <row r="349" spans="1:11" ht="42" customHeight="1">
      <c r="A349" s="4" t="s">
        <v>992</v>
      </c>
      <c r="B349" s="5" t="s">
        <v>993</v>
      </c>
      <c r="C349" s="5" t="s">
        <v>27</v>
      </c>
      <c r="D349" s="5" t="s">
        <v>28</v>
      </c>
      <c r="E349" s="5" t="s">
        <v>245</v>
      </c>
      <c r="F349" s="9">
        <v>6</v>
      </c>
      <c r="G349" s="9">
        <v>58</v>
      </c>
      <c r="H349" s="5" t="s">
        <v>20</v>
      </c>
      <c r="I349" s="5" t="s">
        <v>994</v>
      </c>
      <c r="J349" s="12" t="str">
        <f>HYPERLINK("https://www.boe.es/gazeta/dias/1804/01/20/pdfs/GMD-1804-6.pdf#page=10","Abrir facsímil")</f>
        <v>Abrir facsímil</v>
      </c>
      <c r="K349" s="15" t="s">
        <v>22</v>
      </c>
    </row>
    <row r="350" spans="1:11" ht="42" customHeight="1">
      <c r="A350" s="4" t="s">
        <v>995</v>
      </c>
      <c r="B350" s="5" t="s">
        <v>996</v>
      </c>
      <c r="C350" s="5" t="s">
        <v>17</v>
      </c>
      <c r="D350" s="5" t="s">
        <v>18</v>
      </c>
      <c r="E350" s="5" t="s">
        <v>71</v>
      </c>
      <c r="F350" s="9">
        <v>99</v>
      </c>
      <c r="G350" s="9">
        <v>1106</v>
      </c>
      <c r="H350" s="5" t="s">
        <v>20</v>
      </c>
      <c r="I350" s="5" t="s">
        <v>997</v>
      </c>
      <c r="J350" s="12" t="str">
        <f>HYPERLINK("https://www.boe.es/gazeta/dias/1804/12/11/pdfs/GMD-1804-99.pdf#page=6","Abrir facsímil")</f>
        <v>Abrir facsímil</v>
      </c>
      <c r="K350" s="15" t="s">
        <v>22</v>
      </c>
    </row>
    <row r="351" spans="1:11" ht="42" customHeight="1">
      <c r="A351" s="4" t="s">
        <v>998</v>
      </c>
      <c r="B351" s="5" t="s">
        <v>999</v>
      </c>
      <c r="C351" s="5" t="s">
        <v>27</v>
      </c>
      <c r="D351" s="5" t="s">
        <v>28</v>
      </c>
      <c r="E351" s="5" t="s">
        <v>388</v>
      </c>
      <c r="F351" s="9">
        <v>18</v>
      </c>
      <c r="G351" s="9">
        <v>198</v>
      </c>
      <c r="H351" s="5" t="s">
        <v>20</v>
      </c>
      <c r="I351" s="5" t="s">
        <v>1000</v>
      </c>
      <c r="J351" s="12" t="str">
        <f>HYPERLINK("https://www.boe.es/gazeta/dias/1804/03/02/pdfs/GMD-1804-18.pdf#page=10","Abrir facsímil")</f>
        <v>Abrir facsímil</v>
      </c>
      <c r="K351" s="15" t="s">
        <v>22</v>
      </c>
    </row>
    <row r="352" spans="1:11" ht="42" customHeight="1">
      <c r="A352" s="4" t="s">
        <v>1001</v>
      </c>
      <c r="B352" s="5" t="s">
        <v>1002</v>
      </c>
      <c r="C352" s="5" t="s">
        <v>27</v>
      </c>
      <c r="D352" s="5" t="s">
        <v>28</v>
      </c>
      <c r="E352" s="5" t="s">
        <v>704</v>
      </c>
      <c r="F352" s="9">
        <v>36</v>
      </c>
      <c r="G352" s="9">
        <v>399</v>
      </c>
      <c r="H352" s="5" t="s">
        <v>20</v>
      </c>
      <c r="I352" s="5" t="s">
        <v>1003</v>
      </c>
      <c r="J352" s="12" t="str">
        <f>HYPERLINK("https://www.boe.es/gazeta/dias/1804/05/04/pdfs/GMD-1804-36.pdf#page=9","Abrir facsímil")</f>
        <v>Abrir facsímil</v>
      </c>
      <c r="K352" s="15" t="s">
        <v>22</v>
      </c>
    </row>
    <row r="353" spans="1:11" ht="42" customHeight="1">
      <c r="A353" s="4" t="s">
        <v>1004</v>
      </c>
      <c r="B353" s="5" t="s">
        <v>1005</v>
      </c>
      <c r="C353" s="5" t="s">
        <v>27</v>
      </c>
      <c r="D353" s="5" t="s">
        <v>28</v>
      </c>
      <c r="E353" s="5" t="s">
        <v>479</v>
      </c>
      <c r="F353" s="9">
        <v>5</v>
      </c>
      <c r="G353" s="9">
        <v>47</v>
      </c>
      <c r="H353" s="5" t="s">
        <v>20</v>
      </c>
      <c r="I353" s="5" t="s">
        <v>1006</v>
      </c>
      <c r="J353" s="12" t="str">
        <f>HYPERLINK("https://www.boe.es/gazeta/dias/1804/01/17/pdfs/GMD-1804-5.pdf#page=7","Abrir facsímil")</f>
        <v>Abrir facsímil</v>
      </c>
      <c r="K353" s="15" t="s">
        <v>22</v>
      </c>
    </row>
    <row r="354" spans="1:11" ht="42" customHeight="1">
      <c r="A354" s="4" t="s">
        <v>1007</v>
      </c>
      <c r="B354" s="5" t="s">
        <v>1007</v>
      </c>
      <c r="C354" s="5" t="s">
        <v>85</v>
      </c>
      <c r="D354" s="5" t="s">
        <v>86</v>
      </c>
      <c r="E354" s="5" t="s">
        <v>699</v>
      </c>
      <c r="F354" s="9">
        <v>2</v>
      </c>
      <c r="G354" s="9">
        <v>20</v>
      </c>
      <c r="H354" s="5" t="s">
        <v>20</v>
      </c>
      <c r="I354" s="5" t="s">
        <v>1008</v>
      </c>
      <c r="J354" s="12" t="str">
        <f>HYPERLINK("https://www.boe.es/gazeta/dias/1804/01/06/pdfs/GMD-1804-2.pdf#page=8","Abrir facsímil")</f>
        <v>Abrir facsímil</v>
      </c>
      <c r="K354" s="15" t="s">
        <v>22</v>
      </c>
    </row>
    <row r="355" spans="1:11" ht="42" customHeight="1">
      <c r="A355" s="4" t="s">
        <v>1009</v>
      </c>
      <c r="B355" s="5" t="s">
        <v>1010</v>
      </c>
      <c r="C355" s="5" t="s">
        <v>27</v>
      </c>
      <c r="D355" s="5" t="s">
        <v>28</v>
      </c>
      <c r="E355" s="5" t="s">
        <v>354</v>
      </c>
      <c r="F355" s="9">
        <v>1</v>
      </c>
      <c r="G355" s="9">
        <v>10</v>
      </c>
      <c r="H355" s="5" t="s">
        <v>20</v>
      </c>
      <c r="I355" s="5" t="s">
        <v>1011</v>
      </c>
      <c r="J355" s="12" t="str">
        <f>HYPERLINK("https://www.boe.es/gazeta/dias/1804/01/03/pdfs/GMD-1804-1.pdf#page=10","Abrir facsímil")</f>
        <v>Abrir facsímil</v>
      </c>
      <c r="K355" s="15" t="s">
        <v>22</v>
      </c>
    </row>
    <row r="356" spans="1:11" ht="42" customHeight="1">
      <c r="A356" s="4" t="s">
        <v>1012</v>
      </c>
      <c r="B356" s="5" t="s">
        <v>1013</v>
      </c>
      <c r="C356" s="5" t="s">
        <v>65</v>
      </c>
      <c r="D356" s="5" t="s">
        <v>66</v>
      </c>
      <c r="E356" s="5" t="s">
        <v>175</v>
      </c>
      <c r="F356" s="9">
        <v>58</v>
      </c>
      <c r="G356" s="9">
        <v>642</v>
      </c>
      <c r="H356" s="5" t="s">
        <v>20</v>
      </c>
      <c r="I356" s="5" t="s">
        <v>1014</v>
      </c>
      <c r="J356" s="12" t="str">
        <f>HYPERLINK("https://www.boe.es/gazeta/dias/1804/07/20/pdfs/GMD-1804-58.pdf#page=8","Abrir facsímil")</f>
        <v>Abrir facsímil</v>
      </c>
      <c r="K356" s="15" t="s">
        <v>22</v>
      </c>
    </row>
    <row r="357" spans="1:11" ht="42" customHeight="1">
      <c r="A357" s="4" t="s">
        <v>1015</v>
      </c>
      <c r="B357" s="5" t="s">
        <v>1016</v>
      </c>
      <c r="C357" s="5" t="s">
        <v>57</v>
      </c>
      <c r="D357" s="5" t="s">
        <v>58</v>
      </c>
      <c r="E357" s="5" t="s">
        <v>212</v>
      </c>
      <c r="F357" s="9">
        <v>89</v>
      </c>
      <c r="G357" s="9">
        <v>984</v>
      </c>
      <c r="H357" s="5" t="s">
        <v>20</v>
      </c>
      <c r="I357" s="5" t="s">
        <v>1017</v>
      </c>
      <c r="J357" s="12" t="str">
        <f>HYPERLINK("https://www.boe.es/gazeta/dias/1804/11/06/pdfs/GMD-1804-89.pdf#page=4","Abrir facsímil")</f>
        <v>Abrir facsímil</v>
      </c>
      <c r="K357" s="15" t="s">
        <v>22</v>
      </c>
    </row>
    <row r="358" spans="1:11" ht="42" customHeight="1">
      <c r="A358" s="4" t="s">
        <v>1018</v>
      </c>
      <c r="B358" s="5" t="s">
        <v>1019</v>
      </c>
      <c r="C358" s="5" t="s">
        <v>85</v>
      </c>
      <c r="D358" s="5" t="s">
        <v>86</v>
      </c>
      <c r="E358" s="5" t="s">
        <v>1020</v>
      </c>
      <c r="F358" s="9">
        <v>103</v>
      </c>
      <c r="G358" s="9">
        <v>1147</v>
      </c>
      <c r="H358" s="5" t="s">
        <v>20</v>
      </c>
      <c r="I358" s="5" t="s">
        <v>1021</v>
      </c>
      <c r="J358" s="12" t="str">
        <f>HYPERLINK("https://www.boe.es/gazeta/dias/1804/12/25/pdfs/GMD-1804-103.pdf#page=7","Abrir facsímil")</f>
        <v>Abrir facsímil</v>
      </c>
      <c r="K358" s="15" t="s">
        <v>22</v>
      </c>
    </row>
    <row r="359" spans="1:11" ht="42" customHeight="1">
      <c r="A359" s="4" t="s">
        <v>1022</v>
      </c>
      <c r="B359" s="5" t="s">
        <v>1022</v>
      </c>
      <c r="C359" s="5" t="s">
        <v>57</v>
      </c>
      <c r="D359" s="5" t="s">
        <v>58</v>
      </c>
      <c r="E359" s="5" t="s">
        <v>61</v>
      </c>
      <c r="F359" s="9">
        <v>61</v>
      </c>
      <c r="G359" s="9">
        <v>675</v>
      </c>
      <c r="H359" s="5" t="s">
        <v>20</v>
      </c>
      <c r="I359" s="5" t="s">
        <v>1023</v>
      </c>
      <c r="J359" s="12" t="str">
        <f>HYPERLINK("https://www.boe.es/gazeta/dias/1804/07/31/pdfs/GMD-1804-61.pdf#page=5","Abrir facsímil")</f>
        <v>Abrir facsímil</v>
      </c>
      <c r="K359" s="15" t="s">
        <v>22</v>
      </c>
    </row>
    <row r="360" spans="1:11" ht="42" customHeight="1">
      <c r="A360" s="4" t="s">
        <v>1024</v>
      </c>
      <c r="B360" s="5" t="s">
        <v>1025</v>
      </c>
      <c r="C360" s="5" t="s">
        <v>27</v>
      </c>
      <c r="D360" s="5" t="s">
        <v>28</v>
      </c>
      <c r="E360" s="5" t="s">
        <v>453</v>
      </c>
      <c r="F360" s="9">
        <v>33</v>
      </c>
      <c r="G360" s="9">
        <v>366</v>
      </c>
      <c r="H360" s="5" t="s">
        <v>20</v>
      </c>
      <c r="I360" s="5" t="s">
        <v>1026</v>
      </c>
      <c r="J360" s="12" t="str">
        <f>HYPERLINK("https://www.boe.es/gazeta/dias/1804/04/24/pdfs/GMD-1804-33.pdf#page=8","Abrir facsímil")</f>
        <v>Abrir facsímil</v>
      </c>
      <c r="K360" s="15" t="s">
        <v>22</v>
      </c>
    </row>
    <row r="361" spans="1:11" ht="42" customHeight="1">
      <c r="A361" s="4" t="s">
        <v>1024</v>
      </c>
      <c r="B361" s="5" t="s">
        <v>1025</v>
      </c>
      <c r="C361" s="5" t="s">
        <v>65</v>
      </c>
      <c r="D361" s="5" t="s">
        <v>66</v>
      </c>
      <c r="E361" s="5" t="s">
        <v>97</v>
      </c>
      <c r="F361" s="9">
        <v>50</v>
      </c>
      <c r="G361" s="9">
        <v>553</v>
      </c>
      <c r="H361" s="5" t="s">
        <v>20</v>
      </c>
      <c r="I361" s="5" t="s">
        <v>1027</v>
      </c>
      <c r="J361" s="12" t="str">
        <f>HYPERLINK("https://www.boe.es/gazeta/dias/1804/06/22/pdfs/GMD-1804-50.pdf#page=7","Abrir facsímil")</f>
        <v>Abrir facsímil</v>
      </c>
      <c r="K361" s="15" t="s">
        <v>22</v>
      </c>
    </row>
    <row r="362" spans="1:11" ht="42" customHeight="1">
      <c r="A362" s="4" t="s">
        <v>1028</v>
      </c>
      <c r="B362" s="5" t="s">
        <v>1029</v>
      </c>
      <c r="C362" s="5" t="s">
        <v>27</v>
      </c>
      <c r="D362" s="5" t="s">
        <v>28</v>
      </c>
      <c r="E362" s="5" t="s">
        <v>538</v>
      </c>
      <c r="F362" s="9">
        <v>27</v>
      </c>
      <c r="G362" s="9">
        <v>300</v>
      </c>
      <c r="H362" s="5" t="s">
        <v>20</v>
      </c>
      <c r="I362" s="5" t="s">
        <v>1030</v>
      </c>
      <c r="J362" s="12" t="str">
        <f>HYPERLINK("https://www.boe.es/gazeta/dias/1804/04/03/pdfs/GMD-1804-27.pdf#page=6","Abrir facsímil")</f>
        <v>Abrir facsímil</v>
      </c>
      <c r="K362" s="15" t="s">
        <v>22</v>
      </c>
    </row>
    <row r="363" spans="1:11" ht="42" customHeight="1">
      <c r="A363" s="4" t="s">
        <v>1031</v>
      </c>
      <c r="B363" s="5" t="s">
        <v>1032</v>
      </c>
      <c r="C363" s="5" t="s">
        <v>27</v>
      </c>
      <c r="D363" s="5" t="s">
        <v>28</v>
      </c>
      <c r="E363" s="5" t="s">
        <v>484</v>
      </c>
      <c r="F363" s="9">
        <v>53</v>
      </c>
      <c r="G363" s="9">
        <v>591</v>
      </c>
      <c r="H363" s="5" t="s">
        <v>20</v>
      </c>
      <c r="I363" s="5" t="s">
        <v>1033</v>
      </c>
      <c r="J363" s="12" t="str">
        <f>HYPERLINK("https://www.boe.es/gazeta/dias/1804/07/03/pdfs/GMD-1804-53.pdf#page=9","Abrir facsímil")</f>
        <v>Abrir facsímil</v>
      </c>
      <c r="K363" s="15" t="s">
        <v>22</v>
      </c>
    </row>
    <row r="364" spans="1:11" ht="42" customHeight="1">
      <c r="A364" s="4" t="s">
        <v>1034</v>
      </c>
      <c r="B364" s="5" t="s">
        <v>1035</v>
      </c>
      <c r="C364" s="5" t="s">
        <v>65</v>
      </c>
      <c r="D364" s="5" t="s">
        <v>66</v>
      </c>
      <c r="E364" s="5" t="s">
        <v>251</v>
      </c>
      <c r="F364" s="9">
        <v>79</v>
      </c>
      <c r="G364" s="9">
        <v>879</v>
      </c>
      <c r="H364" s="5" t="s">
        <v>20</v>
      </c>
      <c r="I364" s="5" t="s">
        <v>1036</v>
      </c>
      <c r="J364" s="12" t="str">
        <f>HYPERLINK("https://www.boe.es/gazeta/dias/1804/10/02/pdfs/GMD-1804-79.pdf#page=9","Abrir facsímil")</f>
        <v>Abrir facsímil</v>
      </c>
      <c r="K364" s="15" t="s">
        <v>22</v>
      </c>
    </row>
    <row r="365" spans="1:11" ht="42" customHeight="1">
      <c r="A365" s="4" t="s">
        <v>1037</v>
      </c>
      <c r="B365" s="5" t="s">
        <v>1038</v>
      </c>
      <c r="C365" s="5" t="s">
        <v>85</v>
      </c>
      <c r="D365" s="5" t="s">
        <v>86</v>
      </c>
      <c r="E365" s="5" t="s">
        <v>354</v>
      </c>
      <c r="F365" s="9">
        <v>1</v>
      </c>
      <c r="G365" s="9">
        <v>11</v>
      </c>
      <c r="H365" s="5" t="s">
        <v>20</v>
      </c>
      <c r="I365" s="5" t="s">
        <v>1039</v>
      </c>
      <c r="J365" s="12" t="str">
        <f>HYPERLINK("https://www.boe.es/gazeta/dias/1804/01/03/pdfs/GMD-1804-1.pdf#page=11","Abrir facsímil")</f>
        <v>Abrir facsímil</v>
      </c>
      <c r="K365" s="15" t="s">
        <v>22</v>
      </c>
    </row>
    <row r="366" spans="1:11" ht="42" customHeight="1">
      <c r="A366" s="4" t="s">
        <v>1040</v>
      </c>
      <c r="B366" s="5" t="s">
        <v>1041</v>
      </c>
      <c r="C366" s="5" t="s">
        <v>27</v>
      </c>
      <c r="D366" s="5" t="s">
        <v>28</v>
      </c>
      <c r="E366" s="5" t="s">
        <v>857</v>
      </c>
      <c r="F366" s="9">
        <v>28</v>
      </c>
      <c r="G366" s="9">
        <v>308</v>
      </c>
      <c r="H366" s="5" t="s">
        <v>20</v>
      </c>
      <c r="I366" s="5" t="s">
        <v>1042</v>
      </c>
      <c r="J366" s="12" t="str">
        <f>HYPERLINK("https://www.boe.es/gazeta/dias/1804/04/06/pdfs/GMD-1804-28.pdf#page=6","Abrir facsímil")</f>
        <v>Abrir facsímil</v>
      </c>
      <c r="K366" s="15" t="s">
        <v>22</v>
      </c>
    </row>
    <row r="367" spans="1:11" ht="42" customHeight="1">
      <c r="A367" s="4" t="s">
        <v>1043</v>
      </c>
      <c r="B367" s="5" t="s">
        <v>1044</v>
      </c>
      <c r="C367" s="5" t="s">
        <v>27</v>
      </c>
      <c r="D367" s="5" t="s">
        <v>28</v>
      </c>
      <c r="E367" s="5" t="s">
        <v>515</v>
      </c>
      <c r="F367" s="9">
        <v>102</v>
      </c>
      <c r="G367" s="9">
        <v>1138</v>
      </c>
      <c r="H367" s="5" t="s">
        <v>20</v>
      </c>
      <c r="I367" s="5" t="s">
        <v>1045</v>
      </c>
      <c r="J367" s="12" t="str">
        <f>HYPERLINK("https://www.boe.es/gazeta/dias/1804/12/21/pdfs/GMD-1804-102.pdf#page=6","Abrir facsímil")</f>
        <v>Abrir facsímil</v>
      </c>
      <c r="K367" s="15" t="s">
        <v>22</v>
      </c>
    </row>
    <row r="368" spans="1:11" ht="42" customHeight="1">
      <c r="A368" s="4" t="s">
        <v>1046</v>
      </c>
      <c r="B368" s="5" t="s">
        <v>1046</v>
      </c>
      <c r="C368" s="5" t="s">
        <v>27</v>
      </c>
      <c r="D368" s="5" t="s">
        <v>28</v>
      </c>
      <c r="E368" s="5" t="s">
        <v>453</v>
      </c>
      <c r="F368" s="9">
        <v>33</v>
      </c>
      <c r="G368" s="9">
        <v>366</v>
      </c>
      <c r="H368" s="5" t="s">
        <v>20</v>
      </c>
      <c r="I368" s="5" t="s">
        <v>1047</v>
      </c>
      <c r="J368" s="12" t="str">
        <f>HYPERLINK("https://www.boe.es/gazeta/dias/1804/04/24/pdfs/GMD-1804-33.pdf#page=8","Abrir facsímil")</f>
        <v>Abrir facsímil</v>
      </c>
      <c r="K368" s="15" t="s">
        <v>22</v>
      </c>
    </row>
    <row r="369" spans="1:11" ht="42" customHeight="1">
      <c r="A369" s="4" t="s">
        <v>1048</v>
      </c>
      <c r="B369" s="5" t="s">
        <v>1048</v>
      </c>
      <c r="C369" s="5" t="s">
        <v>57</v>
      </c>
      <c r="D369" s="5" t="s">
        <v>58</v>
      </c>
      <c r="E369" s="5" t="s">
        <v>484</v>
      </c>
      <c r="F369" s="9">
        <v>53</v>
      </c>
      <c r="G369" s="9">
        <v>585</v>
      </c>
      <c r="H369" s="5" t="s">
        <v>20</v>
      </c>
      <c r="I369" s="5" t="s">
        <v>1049</v>
      </c>
      <c r="J369" s="12" t="str">
        <f>HYPERLINK("https://www.boe.es/gazeta/dias/1804/07/03/pdfs/GMD-1804-53.pdf#page=3","Abrir facsímil")</f>
        <v>Abrir facsímil</v>
      </c>
      <c r="K369" s="15" t="s">
        <v>22</v>
      </c>
    </row>
    <row r="370" spans="1:11" ht="42" customHeight="1">
      <c r="A370" s="4" t="s">
        <v>1050</v>
      </c>
      <c r="B370" s="5" t="s">
        <v>1051</v>
      </c>
      <c r="C370" s="5" t="s">
        <v>27</v>
      </c>
      <c r="D370" s="5" t="s">
        <v>28</v>
      </c>
      <c r="E370" s="5" t="s">
        <v>258</v>
      </c>
      <c r="F370" s="9">
        <v>14</v>
      </c>
      <c r="G370" s="9">
        <v>153</v>
      </c>
      <c r="H370" s="5" t="s">
        <v>20</v>
      </c>
      <c r="I370" s="5" t="s">
        <v>1052</v>
      </c>
      <c r="J370" s="12" t="str">
        <f>HYPERLINK("https://www.boe.es/gazeta/dias/1804/02/17/pdfs/GMD-1804-14.pdf#page=9","Abrir facsímil")</f>
        <v>Abrir facsímil</v>
      </c>
      <c r="K370" s="15" t="s">
        <v>22</v>
      </c>
    </row>
    <row r="371" spans="1:11" ht="42" customHeight="1">
      <c r="A371" s="4" t="s">
        <v>1053</v>
      </c>
      <c r="B371" s="5" t="s">
        <v>1054</v>
      </c>
      <c r="C371" s="5" t="s">
        <v>17</v>
      </c>
      <c r="D371" s="5" t="s">
        <v>18</v>
      </c>
      <c r="E371" s="5" t="s">
        <v>484</v>
      </c>
      <c r="F371" s="9">
        <v>53</v>
      </c>
      <c r="G371" s="9">
        <v>591</v>
      </c>
      <c r="H371" s="5" t="s">
        <v>20</v>
      </c>
      <c r="I371" s="5" t="s">
        <v>1055</v>
      </c>
      <c r="J371" s="12" t="str">
        <f>HYPERLINK("https://www.boe.es/gazeta/dias/1804/07/03/pdfs/GMD-1804-53.pdf#page=9","Abrir facsímil")</f>
        <v>Abrir facsímil</v>
      </c>
      <c r="K371" s="15" t="s">
        <v>22</v>
      </c>
    </row>
    <row r="372" spans="1:11" ht="42" customHeight="1">
      <c r="A372" s="4" t="s">
        <v>1056</v>
      </c>
      <c r="B372" s="5" t="s">
        <v>1057</v>
      </c>
      <c r="C372" s="5" t="s">
        <v>27</v>
      </c>
      <c r="D372" s="5" t="s">
        <v>28</v>
      </c>
      <c r="E372" s="5" t="s">
        <v>191</v>
      </c>
      <c r="F372" s="9">
        <v>101</v>
      </c>
      <c r="G372" s="9">
        <v>1128</v>
      </c>
      <c r="H372" s="5" t="s">
        <v>20</v>
      </c>
      <c r="I372" s="5" t="s">
        <v>1058</v>
      </c>
      <c r="J372" s="12" t="str">
        <f>HYPERLINK("https://www.boe.es/gazeta/dias/1804/12/18/pdfs/GMD-1804-101.pdf#page=8","Abrir facsímil")</f>
        <v>Abrir facsímil</v>
      </c>
      <c r="K372" s="15" t="s">
        <v>22</v>
      </c>
    </row>
    <row r="373" spans="1:11" ht="42" customHeight="1">
      <c r="A373" s="4" t="s">
        <v>1059</v>
      </c>
      <c r="B373" s="5" t="s">
        <v>1060</v>
      </c>
      <c r="C373" s="5" t="s">
        <v>27</v>
      </c>
      <c r="D373" s="5" t="s">
        <v>28</v>
      </c>
      <c r="E373" s="5" t="s">
        <v>490</v>
      </c>
      <c r="F373" s="9">
        <v>100</v>
      </c>
      <c r="G373" s="9">
        <v>1119</v>
      </c>
      <c r="H373" s="5" t="s">
        <v>20</v>
      </c>
      <c r="I373" s="5" t="s">
        <v>1061</v>
      </c>
      <c r="J373" s="12" t="str">
        <f>HYPERLINK("https://www.boe.es/gazeta/dias/1804/12/14/pdfs/GMD-1804-100.pdf#page=11","Abrir facsímil")</f>
        <v>Abrir facsímil</v>
      </c>
      <c r="K373" s="15" t="s">
        <v>22</v>
      </c>
    </row>
    <row r="374" spans="1:11" ht="42" customHeight="1">
      <c r="A374" s="4" t="s">
        <v>1062</v>
      </c>
      <c r="B374" s="5" t="s">
        <v>1062</v>
      </c>
      <c r="C374" s="5" t="s">
        <v>57</v>
      </c>
      <c r="D374" s="5" t="s">
        <v>58</v>
      </c>
      <c r="E374" s="5" t="s">
        <v>245</v>
      </c>
      <c r="F374" s="9">
        <v>6</v>
      </c>
      <c r="G374" s="9">
        <v>52</v>
      </c>
      <c r="H374" s="5" t="s">
        <v>20</v>
      </c>
      <c r="I374" s="5" t="s">
        <v>1063</v>
      </c>
      <c r="J374" s="12" t="str">
        <f>HYPERLINK("https://www.boe.es/gazeta/dias/1804/01/20/pdfs/GMD-1804-6.pdf#page=4","Abrir facsímil")</f>
        <v>Abrir facsímil</v>
      </c>
      <c r="K374" s="15" t="s">
        <v>22</v>
      </c>
    </row>
    <row r="375" spans="1:11" ht="42" customHeight="1">
      <c r="A375" s="4" t="s">
        <v>1064</v>
      </c>
      <c r="B375" s="5" t="s">
        <v>1065</v>
      </c>
      <c r="C375" s="5" t="s">
        <v>57</v>
      </c>
      <c r="D375" s="5" t="s">
        <v>58</v>
      </c>
      <c r="E375" s="5" t="s">
        <v>172</v>
      </c>
      <c r="F375" s="9">
        <v>38</v>
      </c>
      <c r="G375" s="9">
        <v>419</v>
      </c>
      <c r="H375" s="5" t="s">
        <v>20</v>
      </c>
      <c r="I375" s="5" t="s">
        <v>1066</v>
      </c>
      <c r="J375" s="12" t="str">
        <f>HYPERLINK("https://www.boe.es/gazeta/dias/1804/05/11/pdfs/GMD-1804-38.pdf#page=5","Abrir facsímil")</f>
        <v>Abrir facsímil</v>
      </c>
      <c r="K375" s="15" t="s">
        <v>22</v>
      </c>
    </row>
    <row r="376" spans="1:11" ht="42" customHeight="1">
      <c r="A376" s="4" t="s">
        <v>1067</v>
      </c>
      <c r="B376" s="5" t="s">
        <v>1068</v>
      </c>
      <c r="C376" s="5" t="s">
        <v>27</v>
      </c>
      <c r="D376" s="5" t="s">
        <v>28</v>
      </c>
      <c r="E376" s="5" t="s">
        <v>19</v>
      </c>
      <c r="F376" s="9">
        <v>60</v>
      </c>
      <c r="G376" s="9">
        <v>665</v>
      </c>
      <c r="H376" s="5" t="s">
        <v>20</v>
      </c>
      <c r="I376" s="5" t="s">
        <v>1069</v>
      </c>
      <c r="J376" s="12" t="str">
        <f>HYPERLINK("https://www.boe.es/gazeta/dias/1804/07/27/pdfs/GMD-1804-60.pdf#page=7","Abrir facsímil")</f>
        <v>Abrir facsímil</v>
      </c>
      <c r="K376" s="15" t="s">
        <v>22</v>
      </c>
    </row>
    <row r="377" spans="1:11" ht="42" customHeight="1">
      <c r="A377" s="4" t="s">
        <v>1070</v>
      </c>
      <c r="B377" s="5" t="s">
        <v>1071</v>
      </c>
      <c r="C377" s="5" t="s">
        <v>65</v>
      </c>
      <c r="D377" s="5" t="s">
        <v>66</v>
      </c>
      <c r="E377" s="5" t="s">
        <v>54</v>
      </c>
      <c r="F377" s="9">
        <v>63</v>
      </c>
      <c r="G377" s="9">
        <v>700</v>
      </c>
      <c r="H377" s="5" t="s">
        <v>20</v>
      </c>
      <c r="I377" s="5" t="s">
        <v>1072</v>
      </c>
      <c r="J377" s="12" t="str">
        <f>HYPERLINK("https://www.boe.es/gazeta/dias/1804/08/07/pdfs/GMD-1804-63.pdf#page=10","Abrir facsímil")</f>
        <v>Abrir facsímil</v>
      </c>
      <c r="K377" s="15" t="s">
        <v>22</v>
      </c>
    </row>
    <row r="378" spans="1:11" ht="42" customHeight="1">
      <c r="A378" s="4" t="s">
        <v>1070</v>
      </c>
      <c r="B378" s="5" t="s">
        <v>1071</v>
      </c>
      <c r="C378" s="5" t="s">
        <v>17</v>
      </c>
      <c r="D378" s="5" t="s">
        <v>18</v>
      </c>
      <c r="E378" s="5" t="s">
        <v>378</v>
      </c>
      <c r="F378" s="9">
        <v>65</v>
      </c>
      <c r="G378" s="9">
        <v>731</v>
      </c>
      <c r="H378" s="5" t="s">
        <v>20</v>
      </c>
      <c r="I378" s="5" t="s">
        <v>1073</v>
      </c>
      <c r="J378" s="12" t="str">
        <f>HYPERLINK("https://www.boe.es/gazeta/dias/1804/08/14/pdfs/GMD-1804-65.pdf#page=9","Abrir facsímil")</f>
        <v>Abrir facsímil</v>
      </c>
      <c r="K378" s="15" t="s">
        <v>22</v>
      </c>
    </row>
    <row r="379" spans="1:11" ht="42" customHeight="1">
      <c r="A379" s="4" t="s">
        <v>1074</v>
      </c>
      <c r="B379" s="5" t="s">
        <v>1075</v>
      </c>
      <c r="C379" s="5" t="s">
        <v>17</v>
      </c>
      <c r="D379" s="5" t="s">
        <v>18</v>
      </c>
      <c r="E379" s="5" t="s">
        <v>71</v>
      </c>
      <c r="F379" s="9">
        <v>99</v>
      </c>
      <c r="G379" s="9">
        <v>1106</v>
      </c>
      <c r="H379" s="5" t="s">
        <v>20</v>
      </c>
      <c r="I379" s="5" t="s">
        <v>1076</v>
      </c>
      <c r="J379" s="12" t="str">
        <f>HYPERLINK("https://www.boe.es/gazeta/dias/1804/12/11/pdfs/GMD-1804-99.pdf#page=6","Abrir facsímil")</f>
        <v>Abrir facsímil</v>
      </c>
      <c r="K379" s="15" t="s">
        <v>22</v>
      </c>
    </row>
    <row r="380" spans="1:11" ht="42" customHeight="1">
      <c r="A380" s="4" t="s">
        <v>1077</v>
      </c>
      <c r="B380" s="5" t="s">
        <v>1077</v>
      </c>
      <c r="C380" s="5" t="s">
        <v>120</v>
      </c>
      <c r="D380" s="5" t="s">
        <v>121</v>
      </c>
      <c r="E380" s="5" t="s">
        <v>33</v>
      </c>
      <c r="F380" s="9">
        <v>48</v>
      </c>
      <c r="G380" s="9" t="s">
        <v>285</v>
      </c>
      <c r="H380" s="5" t="s">
        <v>20</v>
      </c>
      <c r="I380" s="5" t="s">
        <v>1078</v>
      </c>
      <c r="J380" s="12" t="str">
        <f>HYPERLINK("https://www.boe.es/gazeta/dias/1804/06/15/pdfs/GMD-C-1804-48.pdf#page=2","Abrir facsímil")</f>
        <v>Abrir facsímil</v>
      </c>
      <c r="K380" s="15" t="s">
        <v>22</v>
      </c>
    </row>
    <row r="381" spans="1:11" ht="42" customHeight="1">
      <c r="A381" s="4" t="s">
        <v>1079</v>
      </c>
      <c r="B381" s="5" t="s">
        <v>1079</v>
      </c>
      <c r="C381" s="5" t="s">
        <v>65</v>
      </c>
      <c r="D381" s="5" t="s">
        <v>66</v>
      </c>
      <c r="E381" s="5" t="s">
        <v>109</v>
      </c>
      <c r="F381" s="9">
        <v>35</v>
      </c>
      <c r="G381" s="9">
        <v>387</v>
      </c>
      <c r="H381" s="5" t="s">
        <v>20</v>
      </c>
      <c r="I381" s="5" t="s">
        <v>1080</v>
      </c>
      <c r="J381" s="12" t="str">
        <f>HYPERLINK("https://www.boe.es/gazeta/dias/1804/05/01/pdfs/GMD-1804-35.pdf#page=9","Abrir facsímil")</f>
        <v>Abrir facsímil</v>
      </c>
      <c r="K381" s="15" t="s">
        <v>22</v>
      </c>
    </row>
    <row r="382" spans="1:11" ht="42" customHeight="1">
      <c r="A382" s="4" t="s">
        <v>1081</v>
      </c>
      <c r="B382" s="5" t="s">
        <v>1081</v>
      </c>
      <c r="C382" s="5" t="s">
        <v>17</v>
      </c>
      <c r="D382" s="5" t="s">
        <v>18</v>
      </c>
      <c r="E382" s="5" t="s">
        <v>54</v>
      </c>
      <c r="F382" s="9">
        <v>63</v>
      </c>
      <c r="G382" s="9">
        <v>700</v>
      </c>
      <c r="H382" s="5" t="s">
        <v>20</v>
      </c>
      <c r="I382" s="5" t="s">
        <v>1082</v>
      </c>
      <c r="J382" s="12" t="str">
        <f>HYPERLINK("https://www.boe.es/gazeta/dias/1804/08/07/pdfs/GMD-1804-63.pdf#page=10","Abrir facsímil")</f>
        <v>Abrir facsímil</v>
      </c>
      <c r="K382" s="15" t="s">
        <v>22</v>
      </c>
    </row>
    <row r="383" spans="1:11" ht="42" customHeight="1">
      <c r="A383" s="4" t="s">
        <v>1083</v>
      </c>
      <c r="B383" s="5" t="s">
        <v>1083</v>
      </c>
      <c r="C383" s="5" t="s">
        <v>27</v>
      </c>
      <c r="D383" s="5" t="s">
        <v>28</v>
      </c>
      <c r="E383" s="5" t="s">
        <v>388</v>
      </c>
      <c r="F383" s="9">
        <v>18</v>
      </c>
      <c r="G383" s="9">
        <v>199</v>
      </c>
      <c r="H383" s="5" t="s">
        <v>20</v>
      </c>
      <c r="I383" s="5" t="s">
        <v>1084</v>
      </c>
      <c r="J383" s="12" t="str">
        <f>HYPERLINK("https://www.boe.es/gazeta/dias/1804/03/02/pdfs/GMD-1804-18.pdf#page=11","Abrir facsímil")</f>
        <v>Abrir facsímil</v>
      </c>
      <c r="K383" s="15" t="s">
        <v>22</v>
      </c>
    </row>
    <row r="384" spans="1:11" ht="42" customHeight="1">
      <c r="A384" s="4" t="s">
        <v>1085</v>
      </c>
      <c r="B384" s="5" t="s">
        <v>1086</v>
      </c>
      <c r="C384" s="5" t="s">
        <v>17</v>
      </c>
      <c r="D384" s="5" t="s">
        <v>18</v>
      </c>
      <c r="E384" s="5" t="s">
        <v>143</v>
      </c>
      <c r="F384" s="9">
        <v>87</v>
      </c>
      <c r="G384" s="9">
        <v>959</v>
      </c>
      <c r="H384" s="5" t="s">
        <v>20</v>
      </c>
      <c r="I384" s="5" t="s">
        <v>1087</v>
      </c>
      <c r="J384" s="12" t="str">
        <f>HYPERLINK("https://www.boe.es/gazeta/dias/1804/10/30/pdfs/GMD-1804-87.pdf#page=3","Abrir facsímil")</f>
        <v>Abrir facsímil</v>
      </c>
      <c r="K384" s="15" t="s">
        <v>22</v>
      </c>
    </row>
    <row r="385" spans="1:11" ht="42" customHeight="1">
      <c r="A385" s="4" t="s">
        <v>1088</v>
      </c>
      <c r="B385" s="5" t="s">
        <v>1089</v>
      </c>
      <c r="C385" s="5" t="s">
        <v>57</v>
      </c>
      <c r="D385" s="5" t="s">
        <v>58</v>
      </c>
      <c r="E385" s="5" t="s">
        <v>208</v>
      </c>
      <c r="F385" s="9">
        <v>97</v>
      </c>
      <c r="G385" s="9">
        <v>1074</v>
      </c>
      <c r="H385" s="5" t="s">
        <v>20</v>
      </c>
      <c r="I385" s="5" t="s">
        <v>1090</v>
      </c>
      <c r="J385" s="12" t="str">
        <f>HYPERLINK("https://www.boe.es/gazeta/dias/1804/12/04/pdfs/GMD-1804-97.pdf#page=2","Abrir facsímil")</f>
        <v>Abrir facsímil</v>
      </c>
      <c r="K385" s="15" t="s">
        <v>22</v>
      </c>
    </row>
    <row r="386" spans="1:11" ht="42" customHeight="1">
      <c r="A386" s="4" t="s">
        <v>1091</v>
      </c>
      <c r="B386" s="5" t="s">
        <v>1092</v>
      </c>
      <c r="C386" s="5" t="s">
        <v>57</v>
      </c>
      <c r="D386" s="5" t="s">
        <v>58</v>
      </c>
      <c r="E386" s="5" t="s">
        <v>19</v>
      </c>
      <c r="F386" s="9">
        <v>60</v>
      </c>
      <c r="G386" s="9">
        <v>660</v>
      </c>
      <c r="H386" s="5" t="s">
        <v>20</v>
      </c>
      <c r="I386" s="5" t="s">
        <v>1093</v>
      </c>
      <c r="J386" s="12" t="str">
        <f>HYPERLINK("https://www.boe.es/gazeta/dias/1804/07/27/pdfs/GMD-1804-60.pdf#page=2","Abrir facsímil")</f>
        <v>Abrir facsímil</v>
      </c>
      <c r="K386" s="15" t="s">
        <v>22</v>
      </c>
    </row>
    <row r="387" spans="1:11" ht="42" customHeight="1">
      <c r="A387" s="4" t="s">
        <v>1091</v>
      </c>
      <c r="B387" s="5" t="s">
        <v>1092</v>
      </c>
      <c r="C387" s="5" t="s">
        <v>57</v>
      </c>
      <c r="D387" s="5" t="s">
        <v>58</v>
      </c>
      <c r="E387" s="5" t="s">
        <v>378</v>
      </c>
      <c r="F387" s="9">
        <v>65</v>
      </c>
      <c r="G387" s="9">
        <v>725</v>
      </c>
      <c r="H387" s="5" t="s">
        <v>20</v>
      </c>
      <c r="I387" s="5" t="s">
        <v>1094</v>
      </c>
      <c r="J387" s="12" t="str">
        <f>HYPERLINK("https://www.boe.es/gazeta/dias/1804/08/14/pdfs/GMD-1804-65.pdf#page=3","Abrir facsímil")</f>
        <v>Abrir facsímil</v>
      </c>
      <c r="K387" s="15" t="s">
        <v>22</v>
      </c>
    </row>
    <row r="388" spans="1:11" ht="42" customHeight="1">
      <c r="A388" s="4" t="s">
        <v>1091</v>
      </c>
      <c r="B388" s="5" t="s">
        <v>1092</v>
      </c>
      <c r="C388" s="5" t="s">
        <v>57</v>
      </c>
      <c r="D388" s="5" t="s">
        <v>58</v>
      </c>
      <c r="E388" s="5" t="s">
        <v>1095</v>
      </c>
      <c r="F388" s="9">
        <v>73</v>
      </c>
      <c r="G388" s="9">
        <v>813</v>
      </c>
      <c r="H388" s="5" t="s">
        <v>20</v>
      </c>
      <c r="I388" s="5" t="s">
        <v>1096</v>
      </c>
      <c r="J388" s="12" t="str">
        <f>HYPERLINK("https://www.boe.es/gazeta/dias/1804/09/11/pdfs/GMD-1804-73.pdf#page=3","Abrir facsímil")</f>
        <v>Abrir facsímil</v>
      </c>
      <c r="K388" s="15" t="s">
        <v>22</v>
      </c>
    </row>
    <row r="389" spans="1:11" ht="42" customHeight="1">
      <c r="A389" s="4" t="s">
        <v>1091</v>
      </c>
      <c r="B389" s="5" t="s">
        <v>1092</v>
      </c>
      <c r="C389" s="5" t="s">
        <v>57</v>
      </c>
      <c r="D389" s="5" t="s">
        <v>58</v>
      </c>
      <c r="E389" s="5" t="s">
        <v>47</v>
      </c>
      <c r="F389" s="9">
        <v>78</v>
      </c>
      <c r="G389" s="9">
        <v>865</v>
      </c>
      <c r="H389" s="5" t="s">
        <v>20</v>
      </c>
      <c r="I389" s="5" t="s">
        <v>1097</v>
      </c>
      <c r="J389" s="12" t="str">
        <f>HYPERLINK("https://www.boe.es/gazeta/dias/1804/09/28/pdfs/GMD-1804-78.pdf#page=3","Abrir facsímil")</f>
        <v>Abrir facsímil</v>
      </c>
      <c r="K389" s="15" t="s">
        <v>22</v>
      </c>
    </row>
    <row r="390" spans="1:11" ht="42" customHeight="1">
      <c r="A390" s="4" t="s">
        <v>1091</v>
      </c>
      <c r="B390" s="5" t="s">
        <v>1092</v>
      </c>
      <c r="C390" s="5" t="s">
        <v>57</v>
      </c>
      <c r="D390" s="5" t="s">
        <v>58</v>
      </c>
      <c r="E390" s="5" t="s">
        <v>251</v>
      </c>
      <c r="F390" s="9">
        <v>79</v>
      </c>
      <c r="G390" s="9">
        <v>873</v>
      </c>
      <c r="H390" s="5" t="s">
        <v>20</v>
      </c>
      <c r="I390" s="5" t="s">
        <v>1098</v>
      </c>
      <c r="J390" s="12" t="str">
        <f>HYPERLINK("https://www.boe.es/gazeta/dias/1804/10/02/pdfs/GMD-1804-79.pdf#page=3","Abrir facsímil")</f>
        <v>Abrir facsímil</v>
      </c>
      <c r="K390" s="15" t="s">
        <v>22</v>
      </c>
    </row>
    <row r="391" spans="1:11" ht="42" customHeight="1">
      <c r="A391" s="4" t="s">
        <v>1091</v>
      </c>
      <c r="B391" s="5" t="s">
        <v>1092</v>
      </c>
      <c r="C391" s="5" t="s">
        <v>27</v>
      </c>
      <c r="D391" s="5" t="s">
        <v>28</v>
      </c>
      <c r="E391" s="5" t="s">
        <v>709</v>
      </c>
      <c r="F391" s="9">
        <v>82</v>
      </c>
      <c r="G391" s="9">
        <v>905</v>
      </c>
      <c r="H391" s="5" t="s">
        <v>20</v>
      </c>
      <c r="I391" s="5" t="s">
        <v>1099</v>
      </c>
      <c r="J391" s="12" t="str">
        <f>HYPERLINK("https://www.boe.es/gazeta/dias/1804/10/12/pdfs/GMD-1804-82.pdf#page=7","Abrir facsímil")</f>
        <v>Abrir facsímil</v>
      </c>
      <c r="K391" s="15" t="s">
        <v>22</v>
      </c>
    </row>
    <row r="392" spans="1:11" ht="42" customHeight="1">
      <c r="A392" s="4" t="s">
        <v>1091</v>
      </c>
      <c r="B392" s="5" t="s">
        <v>1092</v>
      </c>
      <c r="C392" s="5" t="s">
        <v>27</v>
      </c>
      <c r="D392" s="5" t="s">
        <v>28</v>
      </c>
      <c r="E392" s="5" t="s">
        <v>950</v>
      </c>
      <c r="F392" s="9">
        <v>90</v>
      </c>
      <c r="G392" s="9">
        <v>996</v>
      </c>
      <c r="H392" s="5" t="s">
        <v>20</v>
      </c>
      <c r="I392" s="5" t="s">
        <v>1100</v>
      </c>
      <c r="J392" s="12" t="str">
        <f>HYPERLINK("https://www.boe.es/gazeta/dias/1804/11/09/pdfs/GMD-1804-90.pdf#page=4","Abrir facsímil")</f>
        <v>Abrir facsímil</v>
      </c>
      <c r="K392" s="15" t="s">
        <v>22</v>
      </c>
    </row>
    <row r="393" spans="1:11" ht="42" customHeight="1">
      <c r="A393" s="4" t="s">
        <v>1091</v>
      </c>
      <c r="B393" s="5" t="s">
        <v>1092</v>
      </c>
      <c r="C393" s="5" t="s">
        <v>17</v>
      </c>
      <c r="D393" s="5" t="s">
        <v>18</v>
      </c>
      <c r="E393" s="5" t="s">
        <v>950</v>
      </c>
      <c r="F393" s="9">
        <v>90</v>
      </c>
      <c r="G393" s="9">
        <v>997</v>
      </c>
      <c r="H393" s="5" t="s">
        <v>20</v>
      </c>
      <c r="I393" s="5" t="s">
        <v>1101</v>
      </c>
      <c r="J393" s="12" t="str">
        <f>HYPERLINK("https://www.boe.es/gazeta/dias/1804/11/09/pdfs/GMD-1804-90.pdf#page=5","Abrir facsímil")</f>
        <v>Abrir facsímil</v>
      </c>
      <c r="K393" s="15" t="s">
        <v>22</v>
      </c>
    </row>
    <row r="394" spans="1:11" ht="42" customHeight="1">
      <c r="A394" s="4" t="s">
        <v>1102</v>
      </c>
      <c r="B394" s="5" t="s">
        <v>1103</v>
      </c>
      <c r="C394" s="5" t="s">
        <v>27</v>
      </c>
      <c r="D394" s="5" t="s">
        <v>28</v>
      </c>
      <c r="E394" s="5" t="s">
        <v>350</v>
      </c>
      <c r="F394" s="9">
        <v>19</v>
      </c>
      <c r="G394" s="9">
        <v>209</v>
      </c>
      <c r="H394" s="5" t="s">
        <v>20</v>
      </c>
      <c r="I394" s="5" t="s">
        <v>1104</v>
      </c>
      <c r="J394" s="12" t="str">
        <f>HYPERLINK("https://www.boe.es/gazeta/dias/1804/03/06/pdfs/GMD-1804-19.pdf#page=9","Abrir facsímil")</f>
        <v>Abrir facsímil</v>
      </c>
      <c r="K394" s="15" t="s">
        <v>22</v>
      </c>
    </row>
    <row r="395" spans="1:11" ht="42" customHeight="1">
      <c r="A395" s="4" t="s">
        <v>1105</v>
      </c>
      <c r="B395" s="5" t="s">
        <v>1105</v>
      </c>
      <c r="C395" s="5" t="s">
        <v>27</v>
      </c>
      <c r="D395" s="5" t="s">
        <v>28</v>
      </c>
      <c r="E395" s="5" t="s">
        <v>453</v>
      </c>
      <c r="F395" s="9">
        <v>33</v>
      </c>
      <c r="G395" s="9">
        <v>365</v>
      </c>
      <c r="H395" s="5" t="s">
        <v>20</v>
      </c>
      <c r="I395" s="5" t="s">
        <v>1106</v>
      </c>
      <c r="J395" s="12" t="str">
        <f>HYPERLINK("https://www.boe.es/gazeta/dias/1804/04/24/pdfs/GMD-1804-33.pdf#page=7","Abrir facsímil")</f>
        <v>Abrir facsímil</v>
      </c>
      <c r="K395" s="15" t="s">
        <v>22</v>
      </c>
    </row>
    <row r="396" spans="1:11" ht="42" customHeight="1">
      <c r="A396" s="4" t="s">
        <v>1107</v>
      </c>
      <c r="B396" s="5" t="s">
        <v>1108</v>
      </c>
      <c r="C396" s="5" t="s">
        <v>17</v>
      </c>
      <c r="D396" s="5" t="s">
        <v>18</v>
      </c>
      <c r="E396" s="5" t="s">
        <v>666</v>
      </c>
      <c r="F396" s="9">
        <v>57</v>
      </c>
      <c r="G396" s="9">
        <v>632</v>
      </c>
      <c r="H396" s="5" t="s">
        <v>20</v>
      </c>
      <c r="I396" s="5" t="s">
        <v>1109</v>
      </c>
      <c r="J396" s="12" t="str">
        <f>HYPERLINK("https://www.boe.es/gazeta/dias/1804/07/17/pdfs/GMD-1804-57.pdf#page=10","Abrir facsímil")</f>
        <v>Abrir facsímil</v>
      </c>
      <c r="K396" s="15" t="s">
        <v>22</v>
      </c>
    </row>
    <row r="397" spans="1:11" ht="42" customHeight="1">
      <c r="A397" s="4" t="s">
        <v>1110</v>
      </c>
      <c r="B397" s="5" t="s">
        <v>1110</v>
      </c>
      <c r="C397" s="5" t="s">
        <v>17</v>
      </c>
      <c r="D397" s="5" t="s">
        <v>18</v>
      </c>
      <c r="E397" s="5" t="s">
        <v>736</v>
      </c>
      <c r="F397" s="9">
        <v>83</v>
      </c>
      <c r="G397" s="9">
        <v>919</v>
      </c>
      <c r="H397" s="5" t="s">
        <v>20</v>
      </c>
      <c r="I397" s="5" t="s">
        <v>1111</v>
      </c>
      <c r="J397" s="12" t="str">
        <f>HYPERLINK("https://www.boe.es/gazeta/dias/1804/10/16/pdfs/GMD-1804-83.pdf#page=9","Abrir facsímil")</f>
        <v>Abrir facsímil</v>
      </c>
      <c r="K397" s="15" t="s">
        <v>22</v>
      </c>
    </row>
    <row r="398" spans="1:11" ht="42" customHeight="1">
      <c r="A398" s="4" t="s">
        <v>1110</v>
      </c>
      <c r="B398" s="5" t="s">
        <v>1110</v>
      </c>
      <c r="C398" s="5" t="s">
        <v>65</v>
      </c>
      <c r="D398" s="5" t="s">
        <v>66</v>
      </c>
      <c r="E398" s="5" t="s">
        <v>490</v>
      </c>
      <c r="F398" s="9">
        <v>100</v>
      </c>
      <c r="G398" s="9">
        <v>1118</v>
      </c>
      <c r="H398" s="5" t="s">
        <v>20</v>
      </c>
      <c r="I398" s="5" t="s">
        <v>1112</v>
      </c>
      <c r="J398" s="12" t="str">
        <f>HYPERLINK("https://www.boe.es/gazeta/dias/1804/12/14/pdfs/GMD-1804-100.pdf#page=10","Abrir facsímil")</f>
        <v>Abrir facsímil</v>
      </c>
      <c r="K398" s="15" t="s">
        <v>22</v>
      </c>
    </row>
    <row r="399" spans="1:11" ht="42" customHeight="1">
      <c r="A399" s="4" t="s">
        <v>1113</v>
      </c>
      <c r="B399" s="5" t="s">
        <v>1113</v>
      </c>
      <c r="C399" s="5" t="s">
        <v>65</v>
      </c>
      <c r="D399" s="5" t="s">
        <v>66</v>
      </c>
      <c r="E399" s="5" t="s">
        <v>109</v>
      </c>
      <c r="F399" s="9">
        <v>35</v>
      </c>
      <c r="G399" s="9">
        <v>387</v>
      </c>
      <c r="H399" s="5" t="s">
        <v>20</v>
      </c>
      <c r="I399" s="5" t="s">
        <v>1114</v>
      </c>
      <c r="J399" s="12" t="str">
        <f>HYPERLINK("https://www.boe.es/gazeta/dias/1804/05/01/pdfs/GMD-1804-35.pdf#page=9","Abrir facsímil")</f>
        <v>Abrir facsímil</v>
      </c>
      <c r="K399" s="15" t="s">
        <v>22</v>
      </c>
    </row>
    <row r="400" spans="1:11" ht="42" customHeight="1">
      <c r="A400" s="4" t="s">
        <v>1115</v>
      </c>
      <c r="B400" s="5" t="s">
        <v>1115</v>
      </c>
      <c r="C400" s="5" t="s">
        <v>57</v>
      </c>
      <c r="D400" s="5" t="s">
        <v>58</v>
      </c>
      <c r="E400" s="5" t="s">
        <v>182</v>
      </c>
      <c r="F400" s="9">
        <v>21</v>
      </c>
      <c r="G400" s="9">
        <v>226</v>
      </c>
      <c r="H400" s="5" t="s">
        <v>20</v>
      </c>
      <c r="I400" s="5" t="s">
        <v>1116</v>
      </c>
      <c r="J400" s="12" t="str">
        <f>HYPERLINK("https://www.boe.es/gazeta/dias/1804/03/13/pdfs/GMD-1804-21.pdf#page=2","Abrir facsímil")</f>
        <v>Abrir facsímil</v>
      </c>
      <c r="K400" s="15" t="s">
        <v>22</v>
      </c>
    </row>
    <row r="401" spans="1:11" ht="42" customHeight="1">
      <c r="A401" s="4" t="s">
        <v>1117</v>
      </c>
      <c r="B401" s="5" t="s">
        <v>1118</v>
      </c>
      <c r="C401" s="5" t="s">
        <v>27</v>
      </c>
      <c r="D401" s="5" t="s">
        <v>28</v>
      </c>
      <c r="E401" s="5" t="s">
        <v>378</v>
      </c>
      <c r="F401" s="9">
        <v>65</v>
      </c>
      <c r="G401" s="9">
        <v>727</v>
      </c>
      <c r="H401" s="5" t="s">
        <v>20</v>
      </c>
      <c r="I401" s="5" t="s">
        <v>1119</v>
      </c>
      <c r="J401" s="12" t="str">
        <f>HYPERLINK("https://www.boe.es/gazeta/dias/1804/08/14/pdfs/GMD-1804-65.pdf#page=5","Abrir facsímil")</f>
        <v>Abrir facsímil</v>
      </c>
      <c r="K401" s="15" t="s">
        <v>22</v>
      </c>
    </row>
    <row r="402" spans="1:11" ht="42" customHeight="1">
      <c r="A402" s="4" t="s">
        <v>1120</v>
      </c>
      <c r="B402" s="5" t="s">
        <v>1121</v>
      </c>
      <c r="C402" s="5" t="s">
        <v>27</v>
      </c>
      <c r="D402" s="5" t="s">
        <v>28</v>
      </c>
      <c r="E402" s="5" t="s">
        <v>332</v>
      </c>
      <c r="F402" s="9">
        <v>66</v>
      </c>
      <c r="G402" s="9">
        <v>740</v>
      </c>
      <c r="H402" s="5" t="s">
        <v>20</v>
      </c>
      <c r="I402" s="5" t="s">
        <v>1122</v>
      </c>
      <c r="J402" s="12" t="str">
        <f>HYPERLINK("https://www.boe.es/gazeta/dias/1804/08/17/pdfs/GMD-1804-66.pdf#page=6","Abrir facsímil")</f>
        <v>Abrir facsímil</v>
      </c>
      <c r="K402" s="15" t="s">
        <v>22</v>
      </c>
    </row>
    <row r="403" spans="1:11" ht="42" customHeight="1">
      <c r="A403" s="4" t="s">
        <v>1123</v>
      </c>
      <c r="B403" s="5" t="s">
        <v>1124</v>
      </c>
      <c r="C403" s="5" t="s">
        <v>57</v>
      </c>
      <c r="D403" s="5" t="s">
        <v>58</v>
      </c>
      <c r="E403" s="5" t="s">
        <v>206</v>
      </c>
      <c r="F403" s="9">
        <v>44</v>
      </c>
      <c r="G403" s="9">
        <v>485</v>
      </c>
      <c r="H403" s="5" t="s">
        <v>20</v>
      </c>
      <c r="I403" s="5" t="s">
        <v>1125</v>
      </c>
      <c r="J403" s="12" t="str">
        <f>HYPERLINK("https://www.boe.es/gazeta/dias/1804/06/01/pdfs/GMD-1804-44.pdf#page=3","Abrir facsímil")</f>
        <v>Abrir facsímil</v>
      </c>
      <c r="K403" s="15" t="s">
        <v>22</v>
      </c>
    </row>
    <row r="404" spans="1:11" ht="42" customHeight="1">
      <c r="A404" s="4" t="s">
        <v>1126</v>
      </c>
      <c r="B404" s="5" t="s">
        <v>1127</v>
      </c>
      <c r="C404" s="5" t="s">
        <v>27</v>
      </c>
      <c r="D404" s="5" t="s">
        <v>28</v>
      </c>
      <c r="E404" s="5" t="s">
        <v>354</v>
      </c>
      <c r="F404" s="9">
        <v>1</v>
      </c>
      <c r="G404" s="9">
        <v>10</v>
      </c>
      <c r="H404" s="5" t="s">
        <v>20</v>
      </c>
      <c r="I404" s="5" t="s">
        <v>1128</v>
      </c>
      <c r="J404" s="12" t="str">
        <f>HYPERLINK("https://www.boe.es/gazeta/dias/1804/01/03/pdfs/GMD-1804-1.pdf#page=10","Abrir facsímil")</f>
        <v>Abrir facsímil</v>
      </c>
      <c r="K404" s="15" t="s">
        <v>22</v>
      </c>
    </row>
    <row r="405" spans="1:11" ht="42" customHeight="1">
      <c r="A405" s="4" t="s">
        <v>1129</v>
      </c>
      <c r="B405" s="5" t="s">
        <v>1130</v>
      </c>
      <c r="C405" s="5" t="s">
        <v>198</v>
      </c>
      <c r="D405" s="5" t="s">
        <v>66</v>
      </c>
      <c r="E405" s="5" t="s">
        <v>350</v>
      </c>
      <c r="F405" s="9">
        <v>19</v>
      </c>
      <c r="G405" s="9">
        <v>208</v>
      </c>
      <c r="H405" s="5" t="s">
        <v>20</v>
      </c>
      <c r="I405" s="5" t="s">
        <v>1131</v>
      </c>
      <c r="J405" s="12" t="str">
        <f>HYPERLINK("https://www.boe.es/gazeta/dias/1804/03/06/pdfs/GMD-1804-19.pdf#page=8","Abrir facsímil")</f>
        <v>Abrir facsímil</v>
      </c>
      <c r="K405" s="15" t="s">
        <v>22</v>
      </c>
    </row>
    <row r="406" spans="1:11" ht="42" customHeight="1">
      <c r="A406" s="4" t="s">
        <v>1132</v>
      </c>
      <c r="B406" s="5" t="s">
        <v>1132</v>
      </c>
      <c r="C406" s="5" t="s">
        <v>85</v>
      </c>
      <c r="D406" s="5" t="s">
        <v>86</v>
      </c>
      <c r="E406" s="5" t="s">
        <v>175</v>
      </c>
      <c r="F406" s="9">
        <v>58</v>
      </c>
      <c r="G406" s="9">
        <v>646</v>
      </c>
      <c r="H406" s="5" t="s">
        <v>20</v>
      </c>
      <c r="I406" s="5" t="s">
        <v>1133</v>
      </c>
      <c r="J406" s="12" t="str">
        <f>HYPERLINK("https://www.boe.es/gazeta/dias/1804/07/20/pdfs/GMD-1804-58.pdf#page=12","Abrir facsímil")</f>
        <v>Abrir facsímil</v>
      </c>
      <c r="K406" s="15" t="s">
        <v>22</v>
      </c>
    </row>
    <row r="407" spans="1:11" ht="42" customHeight="1">
      <c r="A407" s="4" t="s">
        <v>1134</v>
      </c>
      <c r="B407" s="5" t="s">
        <v>1135</v>
      </c>
      <c r="C407" s="5" t="s">
        <v>17</v>
      </c>
      <c r="D407" s="5" t="s">
        <v>18</v>
      </c>
      <c r="E407" s="5" t="s">
        <v>67</v>
      </c>
      <c r="F407" s="9">
        <v>59</v>
      </c>
      <c r="G407" s="9">
        <v>651</v>
      </c>
      <c r="H407" s="5" t="s">
        <v>20</v>
      </c>
      <c r="I407" s="5" t="s">
        <v>1136</v>
      </c>
      <c r="J407" s="12" t="str">
        <f>HYPERLINK("https://www.boe.es/gazeta/dias/1804/07/24/pdfs/GMD-1804-59.pdf#page=5","Abrir facsímil")</f>
        <v>Abrir facsímil</v>
      </c>
      <c r="K407" s="15" t="s">
        <v>22</v>
      </c>
    </row>
    <row r="408" spans="1:11" ht="42" customHeight="1">
      <c r="A408" s="4" t="s">
        <v>1137</v>
      </c>
      <c r="B408" s="5" t="s">
        <v>1138</v>
      </c>
      <c r="C408" s="5" t="s">
        <v>27</v>
      </c>
      <c r="D408" s="5" t="s">
        <v>28</v>
      </c>
      <c r="E408" s="5" t="s">
        <v>308</v>
      </c>
      <c r="F408" s="9">
        <v>96</v>
      </c>
      <c r="G408" s="9">
        <v>1067</v>
      </c>
      <c r="H408" s="5" t="s">
        <v>20</v>
      </c>
      <c r="I408" s="5" t="s">
        <v>1139</v>
      </c>
      <c r="J408" s="12" t="str">
        <f>HYPERLINK("https://www.boe.es/gazeta/dias/1804/11/30/pdfs/GMD-1804-96.pdf#page=7","Abrir facsímil")</f>
        <v>Abrir facsímil</v>
      </c>
      <c r="K408" s="15" t="s">
        <v>22</v>
      </c>
    </row>
    <row r="409" spans="1:11" ht="42" customHeight="1">
      <c r="A409" s="4" t="s">
        <v>1140</v>
      </c>
      <c r="B409" s="5" t="s">
        <v>1140</v>
      </c>
      <c r="C409" s="5" t="s">
        <v>57</v>
      </c>
      <c r="D409" s="5" t="s">
        <v>58</v>
      </c>
      <c r="E409" s="5" t="s">
        <v>272</v>
      </c>
      <c r="F409" s="9">
        <v>30</v>
      </c>
      <c r="G409" s="9">
        <v>328</v>
      </c>
      <c r="H409" s="5" t="s">
        <v>20</v>
      </c>
      <c r="I409" s="5" t="s">
        <v>1141</v>
      </c>
      <c r="J409" s="12" t="str">
        <f>HYPERLINK("https://www.boe.es/gazeta/dias/1804/04/13/pdfs/GMD-1804-30.pdf#page=6","Abrir facsímil")</f>
        <v>Abrir facsímil</v>
      </c>
      <c r="K409" s="15" t="s">
        <v>22</v>
      </c>
    </row>
    <row r="410" spans="1:11" ht="42" customHeight="1">
      <c r="A410" s="4" t="s">
        <v>1142</v>
      </c>
      <c r="B410" s="5" t="s">
        <v>1143</v>
      </c>
      <c r="C410" s="5" t="s">
        <v>57</v>
      </c>
      <c r="D410" s="5" t="s">
        <v>58</v>
      </c>
      <c r="E410" s="5" t="s">
        <v>308</v>
      </c>
      <c r="F410" s="9">
        <v>96</v>
      </c>
      <c r="G410" s="9">
        <v>1065</v>
      </c>
      <c r="H410" s="5" t="s">
        <v>20</v>
      </c>
      <c r="I410" s="5" t="s">
        <v>1144</v>
      </c>
      <c r="J410" s="12" t="str">
        <f>HYPERLINK("https://www.boe.es/gazeta/dias/1804/11/30/pdfs/GMD-1804-96.pdf#page=5","Abrir facsímil")</f>
        <v>Abrir facsímil</v>
      </c>
      <c r="K410" s="15" t="s">
        <v>22</v>
      </c>
    </row>
    <row r="411" spans="1:11" ht="42" customHeight="1">
      <c r="A411" s="4" t="s">
        <v>1145</v>
      </c>
      <c r="B411" s="5" t="s">
        <v>1146</v>
      </c>
      <c r="C411" s="5" t="s">
        <v>17</v>
      </c>
      <c r="D411" s="5" t="s">
        <v>18</v>
      </c>
      <c r="E411" s="5" t="s">
        <v>421</v>
      </c>
      <c r="F411" s="9">
        <v>47</v>
      </c>
      <c r="G411" s="9">
        <v>528</v>
      </c>
      <c r="H411" s="5" t="s">
        <v>20</v>
      </c>
      <c r="I411" s="5" t="s">
        <v>1147</v>
      </c>
      <c r="J411" s="12" t="str">
        <f>HYPERLINK("https://www.boe.es/gazeta/dias/1804/06/12/pdfs/GMD-1804-47.pdf#page=10","Abrir facsímil")</f>
        <v>Abrir facsímil</v>
      </c>
      <c r="K411" s="15" t="s">
        <v>22</v>
      </c>
    </row>
    <row r="412" spans="1:11" ht="42" customHeight="1">
      <c r="A412" s="4" t="s">
        <v>1148</v>
      </c>
      <c r="B412" s="5" t="s">
        <v>1149</v>
      </c>
      <c r="C412" s="5" t="s">
        <v>57</v>
      </c>
      <c r="D412" s="5" t="s">
        <v>58</v>
      </c>
      <c r="E412" s="5" t="s">
        <v>378</v>
      </c>
      <c r="F412" s="9">
        <v>65</v>
      </c>
      <c r="G412" s="9">
        <v>724</v>
      </c>
      <c r="H412" s="5" t="s">
        <v>20</v>
      </c>
      <c r="I412" s="5" t="s">
        <v>1150</v>
      </c>
      <c r="J412" s="12" t="str">
        <f>HYPERLINK("https://www.boe.es/gazeta/dias/1804/08/14/pdfs/GMD-1804-65.pdf#page=2","Abrir facsímil")</f>
        <v>Abrir facsímil</v>
      </c>
      <c r="K412" s="15" t="s">
        <v>22</v>
      </c>
    </row>
    <row r="413" spans="1:11" ht="42" customHeight="1">
      <c r="A413" s="4" t="s">
        <v>1151</v>
      </c>
      <c r="B413" s="5" t="s">
        <v>1151</v>
      </c>
      <c r="C413" s="5" t="s">
        <v>17</v>
      </c>
      <c r="D413" s="5" t="s">
        <v>18</v>
      </c>
      <c r="E413" s="5" t="s">
        <v>29</v>
      </c>
      <c r="F413" s="9">
        <v>88</v>
      </c>
      <c r="G413" s="9">
        <v>969</v>
      </c>
      <c r="H413" s="5" t="s">
        <v>20</v>
      </c>
      <c r="I413" s="5" t="s">
        <v>1152</v>
      </c>
      <c r="J413" s="12" t="str">
        <f>HYPERLINK("https://www.boe.es/gazeta/dias/1804/11/02/pdfs/GMD-1804-88.pdf#page=1","Abrir facsímil")</f>
        <v>Abrir facsímil</v>
      </c>
      <c r="K413" s="15" t="s">
        <v>22</v>
      </c>
    </row>
    <row r="414" spans="1:11" ht="42" customHeight="1">
      <c r="A414" s="4" t="s">
        <v>1153</v>
      </c>
      <c r="B414" s="5" t="s">
        <v>1153</v>
      </c>
      <c r="C414" s="5" t="s">
        <v>17</v>
      </c>
      <c r="D414" s="5" t="s">
        <v>18</v>
      </c>
      <c r="E414" s="5" t="s">
        <v>360</v>
      </c>
      <c r="F414" s="9">
        <v>81</v>
      </c>
      <c r="G414" s="9">
        <v>896</v>
      </c>
      <c r="H414" s="5" t="s">
        <v>20</v>
      </c>
      <c r="I414" s="5" t="s">
        <v>1154</v>
      </c>
      <c r="J414" s="12" t="str">
        <f>HYPERLINK("https://www.boe.es/gazeta/dias/1804/10/09/pdfs/GMD-1804-81.pdf#page=6","Abrir facsímil")</f>
        <v>Abrir facsímil</v>
      </c>
      <c r="K414" s="15" t="s">
        <v>22</v>
      </c>
    </row>
    <row r="415" spans="1:11" ht="42" customHeight="1">
      <c r="A415" s="4" t="s">
        <v>1153</v>
      </c>
      <c r="B415" s="5" t="s">
        <v>1153</v>
      </c>
      <c r="C415" s="5" t="s">
        <v>17</v>
      </c>
      <c r="D415" s="5" t="s">
        <v>18</v>
      </c>
      <c r="E415" s="5" t="s">
        <v>709</v>
      </c>
      <c r="F415" s="9">
        <v>82</v>
      </c>
      <c r="G415" s="9">
        <v>905</v>
      </c>
      <c r="H415" s="5" t="s">
        <v>20</v>
      </c>
      <c r="I415" s="5" t="s">
        <v>1155</v>
      </c>
      <c r="J415" s="12" t="str">
        <f>HYPERLINK("https://www.boe.es/gazeta/dias/1804/10/12/pdfs/GMD-1804-82.pdf#page=7","Abrir facsímil")</f>
        <v>Abrir facsímil</v>
      </c>
      <c r="K415" s="15" t="s">
        <v>22</v>
      </c>
    </row>
    <row r="416" spans="1:11" ht="42" customHeight="1">
      <c r="A416" s="4" t="s">
        <v>1153</v>
      </c>
      <c r="B416" s="5" t="s">
        <v>1153</v>
      </c>
      <c r="C416" s="5" t="s">
        <v>85</v>
      </c>
      <c r="D416" s="5" t="s">
        <v>86</v>
      </c>
      <c r="E416" s="5" t="s">
        <v>208</v>
      </c>
      <c r="F416" s="9">
        <v>97</v>
      </c>
      <c r="G416" s="9">
        <v>1081</v>
      </c>
      <c r="H416" s="5" t="s">
        <v>20</v>
      </c>
      <c r="I416" s="5" t="s">
        <v>1156</v>
      </c>
      <c r="J416" s="12" t="str">
        <f>HYPERLINK("https://www.boe.es/gazeta/dias/1804/12/04/pdfs/GMD-1804-97.pdf#page=9","Abrir facsímil")</f>
        <v>Abrir facsímil</v>
      </c>
      <c r="K416" s="15" t="s">
        <v>22</v>
      </c>
    </row>
    <row r="417" spans="1:11" ht="42" customHeight="1">
      <c r="A417" s="4" t="s">
        <v>1157</v>
      </c>
      <c r="B417" s="5" t="s">
        <v>1157</v>
      </c>
      <c r="C417" s="5" t="s">
        <v>27</v>
      </c>
      <c r="D417" s="5" t="s">
        <v>28</v>
      </c>
      <c r="E417" s="5" t="s">
        <v>367</v>
      </c>
      <c r="F417" s="9">
        <v>64</v>
      </c>
      <c r="G417" s="9">
        <v>711</v>
      </c>
      <c r="H417" s="5" t="s">
        <v>20</v>
      </c>
      <c r="I417" s="5" t="s">
        <v>1158</v>
      </c>
      <c r="J417" s="12" t="str">
        <f>HYPERLINK("https://www.boe.es/gazeta/dias/1804/08/10/pdfs/GMD-1804-64.pdf#page=5","Abrir facsímil")</f>
        <v>Abrir facsímil</v>
      </c>
      <c r="K417" s="15" t="s">
        <v>22</v>
      </c>
    </row>
    <row r="418" spans="1:11" ht="42" customHeight="1">
      <c r="A418" s="4" t="s">
        <v>1159</v>
      </c>
      <c r="B418" s="5" t="s">
        <v>1160</v>
      </c>
      <c r="C418" s="5" t="s">
        <v>27</v>
      </c>
      <c r="D418" s="5" t="s">
        <v>28</v>
      </c>
      <c r="E418" s="5" t="s">
        <v>1095</v>
      </c>
      <c r="F418" s="9">
        <v>73</v>
      </c>
      <c r="G418" s="9">
        <v>819</v>
      </c>
      <c r="H418" s="5" t="s">
        <v>20</v>
      </c>
      <c r="I418" s="5" t="s">
        <v>1161</v>
      </c>
      <c r="J418" s="12" t="str">
        <f>HYPERLINK("https://www.boe.es/gazeta/dias/1804/09/11/pdfs/GMD-1804-73.pdf#page=9","Abrir facsímil")</f>
        <v>Abrir facsímil</v>
      </c>
      <c r="K418" s="15" t="s">
        <v>22</v>
      </c>
    </row>
    <row r="419" spans="1:11" ht="42" customHeight="1">
      <c r="A419" s="4" t="s">
        <v>1162</v>
      </c>
      <c r="B419" s="5" t="s">
        <v>1163</v>
      </c>
      <c r="C419" s="5" t="s">
        <v>57</v>
      </c>
      <c r="D419" s="5" t="s">
        <v>58</v>
      </c>
      <c r="E419" s="5" t="s">
        <v>191</v>
      </c>
      <c r="F419" s="9">
        <v>101</v>
      </c>
      <c r="G419" s="9">
        <v>1122</v>
      </c>
      <c r="H419" s="5" t="s">
        <v>20</v>
      </c>
      <c r="I419" s="5" t="s">
        <v>1164</v>
      </c>
      <c r="J419" s="12" t="str">
        <f>HYPERLINK("https://www.boe.es/gazeta/dias/1804/12/18/pdfs/GMD-1804-101.pdf#page=2","Abrir facsímil")</f>
        <v>Abrir facsímil</v>
      </c>
      <c r="K419" s="15" t="s">
        <v>22</v>
      </c>
    </row>
    <row r="420" spans="1:11" ht="42" customHeight="1">
      <c r="A420" s="4" t="s">
        <v>1165</v>
      </c>
      <c r="B420" s="5" t="s">
        <v>1166</v>
      </c>
      <c r="C420" s="5" t="s">
        <v>27</v>
      </c>
      <c r="D420" s="5" t="s">
        <v>28</v>
      </c>
      <c r="E420" s="5" t="s">
        <v>111</v>
      </c>
      <c r="F420" s="9">
        <v>40</v>
      </c>
      <c r="G420" s="9">
        <v>444</v>
      </c>
      <c r="H420" s="5" t="s">
        <v>20</v>
      </c>
      <c r="I420" s="5" t="s">
        <v>1167</v>
      </c>
      <c r="J420" s="12" t="str">
        <f>HYPERLINK("https://www.boe.es/gazeta/dias/1804/05/18/pdfs/GMD-1804-40.pdf#page=6","Abrir facsímil")</f>
        <v>Abrir facsímil</v>
      </c>
      <c r="K420" s="15" t="s">
        <v>22</v>
      </c>
    </row>
    <row r="421" spans="1:11" ht="42" customHeight="1">
      <c r="A421" s="4" t="s">
        <v>1168</v>
      </c>
      <c r="B421" s="5" t="s">
        <v>1169</v>
      </c>
      <c r="C421" s="5" t="s">
        <v>27</v>
      </c>
      <c r="D421" s="5" t="s">
        <v>28</v>
      </c>
      <c r="E421" s="5" t="s">
        <v>272</v>
      </c>
      <c r="F421" s="9">
        <v>30</v>
      </c>
      <c r="G421" s="9">
        <v>330</v>
      </c>
      <c r="H421" s="5" t="s">
        <v>20</v>
      </c>
      <c r="I421" s="5" t="s">
        <v>1170</v>
      </c>
      <c r="J421" s="12" t="str">
        <f>HYPERLINK("https://www.boe.es/gazeta/dias/1804/04/13/pdfs/GMD-1804-30.pdf#page=8","Abrir facsímil")</f>
        <v>Abrir facsímil</v>
      </c>
      <c r="K421" s="15" t="s">
        <v>22</v>
      </c>
    </row>
    <row r="422" spans="1:11" ht="42" customHeight="1">
      <c r="A422" s="4" t="s">
        <v>1171</v>
      </c>
      <c r="B422" s="5" t="s">
        <v>1172</v>
      </c>
      <c r="C422" s="5" t="s">
        <v>120</v>
      </c>
      <c r="D422" s="5" t="s">
        <v>121</v>
      </c>
      <c r="E422" s="5" t="s">
        <v>33</v>
      </c>
      <c r="F422" s="9">
        <v>48</v>
      </c>
      <c r="G422" s="9" t="s">
        <v>285</v>
      </c>
      <c r="H422" s="5" t="s">
        <v>20</v>
      </c>
      <c r="I422" s="5" t="s">
        <v>1173</v>
      </c>
      <c r="J422" s="12" t="str">
        <f>HYPERLINK("https://www.boe.es/gazeta/dias/1804/06/15/pdfs/GMD-C-1804-48.pdf#page=2","Abrir facsímil")</f>
        <v>Abrir facsímil</v>
      </c>
      <c r="K422" s="15" t="s">
        <v>22</v>
      </c>
    </row>
    <row r="423" spans="1:11" ht="42" customHeight="1">
      <c r="A423" s="4" t="s">
        <v>1174</v>
      </c>
      <c r="B423" s="5" t="s">
        <v>1175</v>
      </c>
      <c r="C423" s="5" t="s">
        <v>17</v>
      </c>
      <c r="D423" s="5" t="s">
        <v>18</v>
      </c>
      <c r="E423" s="5" t="s">
        <v>191</v>
      </c>
      <c r="F423" s="9">
        <v>101</v>
      </c>
      <c r="G423" s="9">
        <v>1127</v>
      </c>
      <c r="H423" s="5" t="s">
        <v>20</v>
      </c>
      <c r="I423" s="5" t="s">
        <v>1176</v>
      </c>
      <c r="J423" s="12" t="str">
        <f>HYPERLINK("https://www.boe.es/gazeta/dias/1804/12/18/pdfs/GMD-1804-101.pdf#page=7","Abrir facsímil")</f>
        <v>Abrir facsímil</v>
      </c>
      <c r="K423" s="15" t="s">
        <v>22</v>
      </c>
    </row>
    <row r="424" spans="1:11" ht="42" customHeight="1">
      <c r="A424" s="4" t="s">
        <v>1177</v>
      </c>
      <c r="B424" s="5" t="s">
        <v>1178</v>
      </c>
      <c r="C424" s="5" t="s">
        <v>27</v>
      </c>
      <c r="D424" s="5" t="s">
        <v>28</v>
      </c>
      <c r="E424" s="5" t="s">
        <v>1179</v>
      </c>
      <c r="F424" s="9">
        <v>43</v>
      </c>
      <c r="G424" s="9">
        <v>480</v>
      </c>
      <c r="H424" s="5" t="s">
        <v>20</v>
      </c>
      <c r="I424" s="5" t="s">
        <v>1180</v>
      </c>
      <c r="J424" s="12" t="str">
        <f>HYPERLINK("https://www.boe.es/gazeta/dias/1804/05/29/pdfs/GMD-1804-43.pdf#page=6","Abrir facsímil")</f>
        <v>Abrir facsímil</v>
      </c>
      <c r="K424" s="15" t="s">
        <v>22</v>
      </c>
    </row>
    <row r="425" spans="1:11" ht="42" customHeight="1">
      <c r="A425" s="4" t="s">
        <v>1181</v>
      </c>
      <c r="B425" s="5" t="s">
        <v>1182</v>
      </c>
      <c r="C425" s="5" t="s">
        <v>65</v>
      </c>
      <c r="D425" s="5" t="s">
        <v>66</v>
      </c>
      <c r="E425" s="5" t="s">
        <v>339</v>
      </c>
      <c r="F425" s="9">
        <v>94</v>
      </c>
      <c r="G425" s="9">
        <v>1037</v>
      </c>
      <c r="H425" s="5" t="s">
        <v>20</v>
      </c>
      <c r="I425" s="5" t="s">
        <v>1183</v>
      </c>
      <c r="J425" s="12" t="str">
        <f>HYPERLINK("https://www.boe.es/gazeta/dias/1804/11/23/pdfs/GMD-1804-94.pdf#page=5","Abrir facsímil")</f>
        <v>Abrir facsímil</v>
      </c>
      <c r="K425" s="15" t="s">
        <v>22</v>
      </c>
    </row>
    <row r="426" spans="1:11" ht="42" customHeight="1">
      <c r="A426" s="4" t="s">
        <v>1184</v>
      </c>
      <c r="B426" s="5" t="s">
        <v>1185</v>
      </c>
      <c r="C426" s="5" t="s">
        <v>120</v>
      </c>
      <c r="D426" s="5" t="s">
        <v>121</v>
      </c>
      <c r="E426" s="5" t="s">
        <v>33</v>
      </c>
      <c r="F426" s="9">
        <v>48</v>
      </c>
      <c r="G426" s="9" t="s">
        <v>819</v>
      </c>
      <c r="H426" s="5" t="s">
        <v>20</v>
      </c>
      <c r="I426" s="5" t="s">
        <v>1186</v>
      </c>
      <c r="J426" s="12" t="str">
        <f>HYPERLINK("https://www.boe.es/gazeta/dias/1804/06/15/pdfs/GMD-C-1804-48.pdf#page=4","Abrir facsímil")</f>
        <v>Abrir facsímil</v>
      </c>
      <c r="K426" s="15" t="s">
        <v>22</v>
      </c>
    </row>
    <row r="427" spans="1:11" ht="42" customHeight="1">
      <c r="A427" s="4" t="s">
        <v>1187</v>
      </c>
      <c r="B427" s="5" t="s">
        <v>1188</v>
      </c>
      <c r="C427" s="5" t="s">
        <v>85</v>
      </c>
      <c r="D427" s="5" t="s">
        <v>86</v>
      </c>
      <c r="E427" s="5" t="s">
        <v>67</v>
      </c>
      <c r="F427" s="9">
        <v>59</v>
      </c>
      <c r="G427" s="9">
        <v>649</v>
      </c>
      <c r="H427" s="5" t="s">
        <v>20</v>
      </c>
      <c r="I427" s="5" t="s">
        <v>1189</v>
      </c>
      <c r="J427" s="12" t="str">
        <f>HYPERLINK("https://www.boe.es/gazeta/dias/1804/07/24/pdfs/GMD-1804-59.pdf#page=3","Abrir facsímil")</f>
        <v>Abrir facsímil</v>
      </c>
      <c r="K427" s="15" t="s">
        <v>22</v>
      </c>
    </row>
    <row r="428" spans="1:11" ht="42" customHeight="1">
      <c r="A428" s="4" t="s">
        <v>1190</v>
      </c>
      <c r="B428" s="5" t="s">
        <v>1191</v>
      </c>
      <c r="C428" s="5" t="s">
        <v>65</v>
      </c>
      <c r="D428" s="5" t="s">
        <v>66</v>
      </c>
      <c r="E428" s="5" t="s">
        <v>484</v>
      </c>
      <c r="F428" s="9">
        <v>53</v>
      </c>
      <c r="G428" s="9">
        <v>590</v>
      </c>
      <c r="H428" s="5" t="s">
        <v>20</v>
      </c>
      <c r="I428" s="5" t="s">
        <v>1192</v>
      </c>
      <c r="J428" s="12" t="str">
        <f>HYPERLINK("https://www.boe.es/gazeta/dias/1804/07/03/pdfs/GMD-1804-53.pdf#page=8","Abrir facsímil")</f>
        <v>Abrir facsímil</v>
      </c>
      <c r="K428" s="15" t="s">
        <v>22</v>
      </c>
    </row>
    <row r="429" spans="1:11" ht="42" customHeight="1">
      <c r="A429" s="4" t="s">
        <v>1193</v>
      </c>
      <c r="B429" s="5" t="s">
        <v>1194</v>
      </c>
      <c r="C429" s="5" t="s">
        <v>27</v>
      </c>
      <c r="D429" s="5" t="s">
        <v>28</v>
      </c>
      <c r="E429" s="5" t="s">
        <v>350</v>
      </c>
      <c r="F429" s="9">
        <v>19</v>
      </c>
      <c r="G429" s="9">
        <v>210</v>
      </c>
      <c r="H429" s="5" t="s">
        <v>20</v>
      </c>
      <c r="I429" s="5" t="s">
        <v>1195</v>
      </c>
      <c r="J429" s="12" t="str">
        <f>HYPERLINK("https://www.boe.es/gazeta/dias/1804/03/06/pdfs/GMD-1804-19.pdf#page=10","Abrir facsímil")</f>
        <v>Abrir facsímil</v>
      </c>
      <c r="K429" s="15" t="s">
        <v>22</v>
      </c>
    </row>
    <row r="430" spans="1:11" ht="42" customHeight="1">
      <c r="A430" s="4" t="s">
        <v>1196</v>
      </c>
      <c r="B430" s="5" t="s">
        <v>1197</v>
      </c>
      <c r="C430" s="5" t="s">
        <v>65</v>
      </c>
      <c r="D430" s="5" t="s">
        <v>66</v>
      </c>
      <c r="E430" s="5" t="s">
        <v>103</v>
      </c>
      <c r="F430" s="9">
        <v>11</v>
      </c>
      <c r="G430" s="9">
        <v>115</v>
      </c>
      <c r="H430" s="5" t="s">
        <v>20</v>
      </c>
      <c r="I430" s="5" t="s">
        <v>1198</v>
      </c>
      <c r="J430" s="12" t="str">
        <f>HYPERLINK("https://www.boe.es/gazeta/dias/1804/02/07/pdfs/GMD-1804-11.pdf#page=3","Abrir facsímil")</f>
        <v>Abrir facsímil</v>
      </c>
      <c r="K430" s="15" t="s">
        <v>22</v>
      </c>
    </row>
    <row r="431" spans="1:11" ht="42" customHeight="1">
      <c r="A431" s="4" t="s">
        <v>1199</v>
      </c>
      <c r="B431" s="5" t="s">
        <v>1200</v>
      </c>
      <c r="C431" s="5" t="s">
        <v>27</v>
      </c>
      <c r="D431" s="5" t="s">
        <v>28</v>
      </c>
      <c r="E431" s="5" t="s">
        <v>191</v>
      </c>
      <c r="F431" s="9">
        <v>101</v>
      </c>
      <c r="G431" s="9">
        <v>1129</v>
      </c>
      <c r="H431" s="5" t="s">
        <v>20</v>
      </c>
      <c r="I431" s="5" t="s">
        <v>1201</v>
      </c>
      <c r="J431" s="12" t="str">
        <f>HYPERLINK("https://www.boe.es/gazeta/dias/1804/12/18/pdfs/GMD-1804-101.pdf#page=9","Abrir facsímil")</f>
        <v>Abrir facsímil</v>
      </c>
      <c r="K431" s="15" t="s">
        <v>22</v>
      </c>
    </row>
    <row r="432" spans="1:11" ht="42" customHeight="1">
      <c r="A432" s="4" t="s">
        <v>1202</v>
      </c>
      <c r="B432" s="5" t="s">
        <v>1203</v>
      </c>
      <c r="C432" s="5" t="s">
        <v>198</v>
      </c>
      <c r="D432" s="5" t="s">
        <v>66</v>
      </c>
      <c r="E432" s="5" t="s">
        <v>326</v>
      </c>
      <c r="F432" s="9">
        <v>69</v>
      </c>
      <c r="G432" s="9">
        <v>771</v>
      </c>
      <c r="H432" s="5" t="s">
        <v>20</v>
      </c>
      <c r="I432" s="5" t="s">
        <v>1204</v>
      </c>
      <c r="J432" s="12" t="str">
        <f>HYPERLINK("https://www.boe.es/gazeta/dias/1804/08/28/pdfs/GMD-1804-69.pdf#page=5","Abrir facsímil")</f>
        <v>Abrir facsímil</v>
      </c>
      <c r="K432" s="15" t="s">
        <v>22</v>
      </c>
    </row>
    <row r="433" spans="1:11" ht="42" customHeight="1">
      <c r="A433" s="4" t="s">
        <v>1205</v>
      </c>
      <c r="B433" s="5" t="s">
        <v>1206</v>
      </c>
      <c r="C433" s="5" t="s">
        <v>57</v>
      </c>
      <c r="D433" s="5" t="s">
        <v>58</v>
      </c>
      <c r="E433" s="5" t="s">
        <v>479</v>
      </c>
      <c r="F433" s="9">
        <v>5</v>
      </c>
      <c r="G433" s="9">
        <v>45</v>
      </c>
      <c r="H433" s="5" t="s">
        <v>20</v>
      </c>
      <c r="I433" s="5" t="s">
        <v>1207</v>
      </c>
      <c r="J433" s="12" t="str">
        <f>HYPERLINK("https://www.boe.es/gazeta/dias/1804/01/17/pdfs/GMD-1804-5.pdf#page=5","Abrir facsímil")</f>
        <v>Abrir facsímil</v>
      </c>
      <c r="K433" s="15" t="s">
        <v>22</v>
      </c>
    </row>
    <row r="434" spans="1:11" ht="42" customHeight="1">
      <c r="A434" s="4" t="s">
        <v>1208</v>
      </c>
      <c r="B434" s="5" t="s">
        <v>1209</v>
      </c>
      <c r="C434" s="5" t="s">
        <v>17</v>
      </c>
      <c r="D434" s="5" t="s">
        <v>18</v>
      </c>
      <c r="E434" s="5" t="s">
        <v>699</v>
      </c>
      <c r="F434" s="9">
        <v>2</v>
      </c>
      <c r="G434" s="9">
        <v>18</v>
      </c>
      <c r="H434" s="5" t="s">
        <v>20</v>
      </c>
      <c r="I434" s="5" t="s">
        <v>1210</v>
      </c>
      <c r="J434" s="12" t="str">
        <f>HYPERLINK("https://www.boe.es/gazeta/dias/1804/01/06/pdfs/GMD-1804-2.pdf#page=6","Abrir facsímil")</f>
        <v>Abrir facsímil</v>
      </c>
      <c r="K434" s="15" t="s">
        <v>22</v>
      </c>
    </row>
    <row r="435" spans="1:11" ht="42" customHeight="1">
      <c r="A435" s="4" t="s">
        <v>1211</v>
      </c>
      <c r="B435" s="5" t="s">
        <v>1211</v>
      </c>
      <c r="C435" s="5" t="s">
        <v>17</v>
      </c>
      <c r="D435" s="5" t="s">
        <v>18</v>
      </c>
      <c r="E435" s="5" t="s">
        <v>61</v>
      </c>
      <c r="F435" s="9">
        <v>61</v>
      </c>
      <c r="G435" s="9">
        <v>677</v>
      </c>
      <c r="H435" s="5" t="s">
        <v>20</v>
      </c>
      <c r="I435" s="5" t="s">
        <v>1212</v>
      </c>
      <c r="J435" s="12" t="str">
        <f>HYPERLINK("https://www.boe.es/gazeta/dias/1804/07/31/pdfs/GMD-1804-61.pdf#page=7","Abrir facsímil")</f>
        <v>Abrir facsímil</v>
      </c>
      <c r="K435" s="15" t="s">
        <v>22</v>
      </c>
    </row>
    <row r="436" spans="1:11" ht="42" customHeight="1">
      <c r="A436" s="4" t="s">
        <v>1211</v>
      </c>
      <c r="B436" s="5" t="s">
        <v>1211</v>
      </c>
      <c r="C436" s="5" t="s">
        <v>17</v>
      </c>
      <c r="D436" s="5" t="s">
        <v>18</v>
      </c>
      <c r="E436" s="5" t="s">
        <v>143</v>
      </c>
      <c r="F436" s="9">
        <v>87</v>
      </c>
      <c r="G436" s="9">
        <v>962</v>
      </c>
      <c r="H436" s="5" t="s">
        <v>20</v>
      </c>
      <c r="I436" s="5" t="s">
        <v>1213</v>
      </c>
      <c r="J436" s="12" t="str">
        <f>HYPERLINK("https://www.boe.es/gazeta/dias/1804/10/30/pdfs/GMD-1804-87.pdf#page=6","Abrir facsímil")</f>
        <v>Abrir facsímil</v>
      </c>
      <c r="K436" s="15" t="s">
        <v>22</v>
      </c>
    </row>
    <row r="437" spans="1:11" ht="42" customHeight="1">
      <c r="A437" s="4" t="s">
        <v>1211</v>
      </c>
      <c r="B437" s="5" t="s">
        <v>1211</v>
      </c>
      <c r="C437" s="5" t="s">
        <v>85</v>
      </c>
      <c r="D437" s="5" t="s">
        <v>86</v>
      </c>
      <c r="E437" s="5" t="s">
        <v>208</v>
      </c>
      <c r="F437" s="9">
        <v>97</v>
      </c>
      <c r="G437" s="9">
        <v>1081</v>
      </c>
      <c r="H437" s="5" t="s">
        <v>20</v>
      </c>
      <c r="I437" s="5" t="s">
        <v>1214</v>
      </c>
      <c r="J437" s="12" t="str">
        <f>HYPERLINK("https://www.boe.es/gazeta/dias/1804/12/04/pdfs/GMD-1804-97.pdf#page=9","Abrir facsímil")</f>
        <v>Abrir facsímil</v>
      </c>
      <c r="K437" s="15" t="s">
        <v>22</v>
      </c>
    </row>
    <row r="438" spans="1:11" ht="42" customHeight="1">
      <c r="A438" s="4" t="s">
        <v>1215</v>
      </c>
      <c r="B438" s="5" t="s">
        <v>1216</v>
      </c>
      <c r="C438" s="5" t="s">
        <v>27</v>
      </c>
      <c r="D438" s="5" t="s">
        <v>28</v>
      </c>
      <c r="E438" s="5" t="s">
        <v>576</v>
      </c>
      <c r="F438" s="9">
        <v>85</v>
      </c>
      <c r="G438" s="9">
        <v>939</v>
      </c>
      <c r="H438" s="5" t="s">
        <v>20</v>
      </c>
      <c r="I438" s="5" t="s">
        <v>1217</v>
      </c>
      <c r="J438" s="12" t="str">
        <f>HYPERLINK("https://www.boe.es/gazeta/dias/1804/10/23/pdfs/GMD-1804-85.pdf#page=9","Abrir facsímil")</f>
        <v>Abrir facsímil</v>
      </c>
      <c r="K438" s="15" t="s">
        <v>22</v>
      </c>
    </row>
    <row r="439" spans="1:11" ht="42" customHeight="1">
      <c r="A439" s="4" t="s">
        <v>1218</v>
      </c>
      <c r="B439" s="5" t="s">
        <v>1219</v>
      </c>
      <c r="C439" s="5" t="s">
        <v>57</v>
      </c>
      <c r="D439" s="5" t="s">
        <v>58</v>
      </c>
      <c r="E439" s="5" t="s">
        <v>59</v>
      </c>
      <c r="F439" s="9">
        <v>55</v>
      </c>
      <c r="G439" s="9">
        <v>608</v>
      </c>
      <c r="H439" s="5" t="s">
        <v>20</v>
      </c>
      <c r="I439" s="5" t="s">
        <v>1220</v>
      </c>
      <c r="J439" s="12" t="str">
        <f>HYPERLINK("https://www.boe.es/gazeta/dias/1804/07/10/pdfs/GMD-1804-55.pdf#page=6","Abrir facsímil")</f>
        <v>Abrir facsímil</v>
      </c>
      <c r="K439" s="15" t="s">
        <v>22</v>
      </c>
    </row>
    <row r="440" spans="1:11" ht="42" customHeight="1">
      <c r="A440" s="4" t="s">
        <v>1221</v>
      </c>
      <c r="B440" s="5" t="s">
        <v>1222</v>
      </c>
      <c r="C440" s="5" t="s">
        <v>57</v>
      </c>
      <c r="D440" s="5" t="s">
        <v>58</v>
      </c>
      <c r="E440" s="5" t="s">
        <v>132</v>
      </c>
      <c r="F440" s="9">
        <v>52</v>
      </c>
      <c r="G440" s="9">
        <v>572</v>
      </c>
      <c r="H440" s="5" t="s">
        <v>20</v>
      </c>
      <c r="I440" s="5" t="s">
        <v>1223</v>
      </c>
      <c r="J440" s="12" t="str">
        <f>HYPERLINK("https://www.boe.es/gazeta/dias/1804/06/29/pdfs/GMD-1804-52.pdf#page=6","Abrir facsímil")</f>
        <v>Abrir facsímil</v>
      </c>
      <c r="K440" s="15" t="s">
        <v>22</v>
      </c>
    </row>
    <row r="441" spans="1:11" ht="42" customHeight="1">
      <c r="A441" s="4" t="s">
        <v>1221</v>
      </c>
      <c r="B441" s="5" t="s">
        <v>1222</v>
      </c>
      <c r="C441" s="5" t="s">
        <v>57</v>
      </c>
      <c r="D441" s="5" t="s">
        <v>58</v>
      </c>
      <c r="E441" s="5" t="s">
        <v>59</v>
      </c>
      <c r="F441" s="9">
        <v>55</v>
      </c>
      <c r="G441" s="9">
        <v>608</v>
      </c>
      <c r="H441" s="5" t="s">
        <v>20</v>
      </c>
      <c r="I441" s="5" t="s">
        <v>1224</v>
      </c>
      <c r="J441" s="12" t="str">
        <f>HYPERLINK("https://www.boe.es/gazeta/dias/1804/07/10/pdfs/GMD-1804-55.pdf#page=6","Abrir facsímil")</f>
        <v>Abrir facsímil</v>
      </c>
      <c r="K441" s="15" t="s">
        <v>22</v>
      </c>
    </row>
    <row r="442" spans="1:11" ht="42" customHeight="1">
      <c r="A442" s="4" t="s">
        <v>1225</v>
      </c>
      <c r="B442" s="5" t="s">
        <v>1226</v>
      </c>
      <c r="C442" s="5" t="s">
        <v>57</v>
      </c>
      <c r="D442" s="5" t="s">
        <v>58</v>
      </c>
      <c r="E442" s="5" t="s">
        <v>332</v>
      </c>
      <c r="F442" s="9">
        <v>66</v>
      </c>
      <c r="G442" s="9">
        <v>735</v>
      </c>
      <c r="H442" s="5" t="s">
        <v>20</v>
      </c>
      <c r="I442" s="5" t="s">
        <v>1227</v>
      </c>
      <c r="J442" s="12" t="str">
        <f>HYPERLINK("https://www.boe.es/gazeta/dias/1804/08/17/pdfs/GMD-1804-66.pdf#page=1","Abrir facsímil")</f>
        <v>Abrir facsímil</v>
      </c>
      <c r="K442" s="15" t="s">
        <v>22</v>
      </c>
    </row>
    <row r="443" spans="1:11" ht="42" customHeight="1">
      <c r="A443" s="4" t="s">
        <v>1225</v>
      </c>
      <c r="B443" s="5" t="s">
        <v>1226</v>
      </c>
      <c r="C443" s="5" t="s">
        <v>17</v>
      </c>
      <c r="D443" s="5" t="s">
        <v>18</v>
      </c>
      <c r="E443" s="5" t="s">
        <v>547</v>
      </c>
      <c r="F443" s="9">
        <v>68</v>
      </c>
      <c r="G443" s="9">
        <v>762</v>
      </c>
      <c r="H443" s="5" t="s">
        <v>20</v>
      </c>
      <c r="I443" s="5" t="s">
        <v>1228</v>
      </c>
      <c r="J443" s="12" t="str">
        <f>HYPERLINK("https://www.boe.es/gazeta/dias/1804/08/24/pdfs/GMD-1804-68.pdf#page=8","Abrir facsímil")</f>
        <v>Abrir facsímil</v>
      </c>
      <c r="K443" s="15" t="s">
        <v>22</v>
      </c>
    </row>
    <row r="444" spans="1:11" ht="42" customHeight="1">
      <c r="A444" s="4" t="s">
        <v>1225</v>
      </c>
      <c r="B444" s="5" t="s">
        <v>1226</v>
      </c>
      <c r="C444" s="5" t="s">
        <v>27</v>
      </c>
      <c r="D444" s="5" t="s">
        <v>28</v>
      </c>
      <c r="E444" s="5" t="s">
        <v>155</v>
      </c>
      <c r="F444" s="9">
        <v>92</v>
      </c>
      <c r="G444" s="9">
        <v>1013</v>
      </c>
      <c r="H444" s="5" t="s">
        <v>20</v>
      </c>
      <c r="I444" s="5" t="s">
        <v>1229</v>
      </c>
      <c r="J444" s="12" t="str">
        <f>HYPERLINK("https://www.boe.es/gazeta/dias/1804/11/16/pdfs/GMD-1804-92.pdf#page=1","Abrir facsímil")</f>
        <v>Abrir facsímil</v>
      </c>
      <c r="K444" s="15" t="s">
        <v>22</v>
      </c>
    </row>
    <row r="445" spans="1:11" ht="42" customHeight="1">
      <c r="A445" s="4" t="s">
        <v>1230</v>
      </c>
      <c r="B445" s="5" t="s">
        <v>1231</v>
      </c>
      <c r="C445" s="5" t="s">
        <v>57</v>
      </c>
      <c r="D445" s="5" t="s">
        <v>58</v>
      </c>
      <c r="E445" s="5" t="s">
        <v>206</v>
      </c>
      <c r="F445" s="9">
        <v>44</v>
      </c>
      <c r="G445" s="9">
        <v>488</v>
      </c>
      <c r="H445" s="5" t="s">
        <v>20</v>
      </c>
      <c r="I445" s="5" t="s">
        <v>1232</v>
      </c>
      <c r="J445" s="12" t="str">
        <f>HYPERLINK("https://www.boe.es/gazeta/dias/1804/06/01/pdfs/GMD-1804-44.pdf#page=6","Abrir facsímil")</f>
        <v>Abrir facsímil</v>
      </c>
      <c r="K445" s="15" t="s">
        <v>22</v>
      </c>
    </row>
    <row r="446" spans="1:11" ht="42" customHeight="1">
      <c r="A446" s="4" t="s">
        <v>1230</v>
      </c>
      <c r="B446" s="5" t="s">
        <v>1231</v>
      </c>
      <c r="C446" s="5" t="s">
        <v>27</v>
      </c>
      <c r="D446" s="5" t="s">
        <v>28</v>
      </c>
      <c r="E446" s="5" t="s">
        <v>67</v>
      </c>
      <c r="F446" s="9">
        <v>59</v>
      </c>
      <c r="G446" s="9">
        <v>651</v>
      </c>
      <c r="H446" s="5" t="s">
        <v>20</v>
      </c>
      <c r="I446" s="5" t="s">
        <v>1233</v>
      </c>
      <c r="J446" s="12" t="str">
        <f>HYPERLINK("https://www.boe.es/gazeta/dias/1804/07/24/pdfs/GMD-1804-59.pdf#page=5","Abrir facsímil")</f>
        <v>Abrir facsímil</v>
      </c>
      <c r="K446" s="15" t="s">
        <v>22</v>
      </c>
    </row>
    <row r="447" spans="1:11" ht="42" customHeight="1">
      <c r="A447" s="4" t="s">
        <v>1234</v>
      </c>
      <c r="B447" s="5" t="s">
        <v>1235</v>
      </c>
      <c r="C447" s="5" t="s">
        <v>27</v>
      </c>
      <c r="D447" s="5" t="s">
        <v>28</v>
      </c>
      <c r="E447" s="5" t="s">
        <v>109</v>
      </c>
      <c r="F447" s="9">
        <v>35</v>
      </c>
      <c r="G447" s="9">
        <v>386</v>
      </c>
      <c r="H447" s="5" t="s">
        <v>20</v>
      </c>
      <c r="I447" s="5" t="s">
        <v>1236</v>
      </c>
      <c r="J447" s="12" t="str">
        <f>HYPERLINK("https://www.boe.es/gazeta/dias/1804/05/01/pdfs/GMD-1804-35.pdf#page=8","Abrir facsímil")</f>
        <v>Abrir facsímil</v>
      </c>
      <c r="K447" s="15" t="s">
        <v>22</v>
      </c>
    </row>
    <row r="448" spans="1:11" ht="42" customHeight="1">
      <c r="A448" s="4" t="s">
        <v>1237</v>
      </c>
      <c r="B448" s="5" t="s">
        <v>1237</v>
      </c>
      <c r="C448" s="5" t="s">
        <v>85</v>
      </c>
      <c r="D448" s="5" t="s">
        <v>86</v>
      </c>
      <c r="E448" s="5" t="s">
        <v>736</v>
      </c>
      <c r="F448" s="9">
        <v>83</v>
      </c>
      <c r="G448" s="9">
        <v>921</v>
      </c>
      <c r="H448" s="5" t="s">
        <v>20</v>
      </c>
      <c r="I448" s="5" t="s">
        <v>1238</v>
      </c>
      <c r="J448" s="12" t="str">
        <f>HYPERLINK("https://www.boe.es/gazeta/dias/1804/10/16/pdfs/GMD-1804-83.pdf#page=11","Abrir facsímil")</f>
        <v>Abrir facsímil</v>
      </c>
      <c r="K448" s="15" t="s">
        <v>22</v>
      </c>
    </row>
    <row r="449" spans="1:11" ht="42" customHeight="1">
      <c r="A449" s="4" t="s">
        <v>1239</v>
      </c>
      <c r="B449" s="5" t="s">
        <v>1240</v>
      </c>
      <c r="C449" s="5" t="s">
        <v>27</v>
      </c>
      <c r="D449" s="5" t="s">
        <v>28</v>
      </c>
      <c r="E449" s="5" t="s">
        <v>182</v>
      </c>
      <c r="F449" s="9">
        <v>21</v>
      </c>
      <c r="G449" s="9">
        <v>234</v>
      </c>
      <c r="H449" s="5" t="s">
        <v>20</v>
      </c>
      <c r="I449" s="5" t="s">
        <v>1241</v>
      </c>
      <c r="J449" s="12" t="str">
        <f>HYPERLINK("https://www.boe.es/gazeta/dias/1804/03/13/pdfs/GMD-1804-21.pdf#page=10","Abrir facsímil")</f>
        <v>Abrir facsímil</v>
      </c>
      <c r="K449" s="15" t="s">
        <v>22</v>
      </c>
    </row>
    <row r="450" spans="1:11" ht="42" customHeight="1">
      <c r="A450" s="4" t="s">
        <v>1242</v>
      </c>
      <c r="B450" s="5" t="s">
        <v>1242</v>
      </c>
      <c r="C450" s="5" t="s">
        <v>120</v>
      </c>
      <c r="D450" s="5" t="s">
        <v>121</v>
      </c>
      <c r="E450" s="5" t="s">
        <v>33</v>
      </c>
      <c r="F450" s="9">
        <v>48</v>
      </c>
      <c r="G450" s="9" t="s">
        <v>98</v>
      </c>
      <c r="H450" s="5" t="s">
        <v>20</v>
      </c>
      <c r="I450" s="5" t="s">
        <v>1243</v>
      </c>
      <c r="J450" s="12" t="str">
        <f>HYPERLINK("https://www.boe.es/gazeta/dias/1804/06/15/pdfs/GMD-C-1804-48.pdf#page=1","Abrir facsímil")</f>
        <v>Abrir facsímil</v>
      </c>
      <c r="K450" s="15" t="s">
        <v>22</v>
      </c>
    </row>
    <row r="451" spans="1:11" ht="42" customHeight="1">
      <c r="A451" s="4" t="s">
        <v>1244</v>
      </c>
      <c r="B451" s="5" t="s">
        <v>1244</v>
      </c>
      <c r="C451" s="5" t="s">
        <v>27</v>
      </c>
      <c r="D451" s="5" t="s">
        <v>28</v>
      </c>
      <c r="E451" s="5" t="s">
        <v>81</v>
      </c>
      <c r="F451" s="9">
        <v>98</v>
      </c>
      <c r="G451" s="9">
        <v>1089</v>
      </c>
      <c r="H451" s="5" t="s">
        <v>20</v>
      </c>
      <c r="I451" s="5" t="s">
        <v>1245</v>
      </c>
      <c r="J451" s="12" t="str">
        <f>HYPERLINK("https://www.boe.es/gazeta/dias/1804/12/07/pdfs/GMD-1804-98.pdf#page=5","Abrir facsímil")</f>
        <v>Abrir facsímil</v>
      </c>
      <c r="K451" s="15" t="s">
        <v>22</v>
      </c>
    </row>
    <row r="452" spans="1:11" ht="42" customHeight="1">
      <c r="A452" s="4" t="s">
        <v>1246</v>
      </c>
      <c r="B452" s="5" t="s">
        <v>1246</v>
      </c>
      <c r="C452" s="5" t="s">
        <v>27</v>
      </c>
      <c r="D452" s="5" t="s">
        <v>28</v>
      </c>
      <c r="E452" s="5" t="s">
        <v>511</v>
      </c>
      <c r="F452" s="9">
        <v>12</v>
      </c>
      <c r="G452" s="9">
        <v>133</v>
      </c>
      <c r="H452" s="5" t="s">
        <v>20</v>
      </c>
      <c r="I452" s="5" t="s">
        <v>1247</v>
      </c>
      <c r="J452" s="12" t="str">
        <f>HYPERLINK("https://www.boe.es/gazeta/dias/1804/02/10/pdfs/GMD-1804-12.pdf#page=9","Abrir facsímil")</f>
        <v>Abrir facsímil</v>
      </c>
      <c r="K452" s="15" t="s">
        <v>22</v>
      </c>
    </row>
    <row r="453" spans="1:11" ht="42" customHeight="1">
      <c r="A453" s="4" t="s">
        <v>1248</v>
      </c>
      <c r="B453" s="5" t="s">
        <v>1248</v>
      </c>
      <c r="C453" s="5" t="s">
        <v>27</v>
      </c>
      <c r="D453" s="5" t="s">
        <v>28</v>
      </c>
      <c r="E453" s="5" t="s">
        <v>172</v>
      </c>
      <c r="F453" s="9">
        <v>38</v>
      </c>
      <c r="G453" s="9">
        <v>424</v>
      </c>
      <c r="H453" s="5" t="s">
        <v>20</v>
      </c>
      <c r="I453" s="5" t="s">
        <v>1249</v>
      </c>
      <c r="J453" s="12" t="str">
        <f>HYPERLINK("https://www.boe.es/gazeta/dias/1804/05/11/pdfs/GMD-1804-38.pdf#page=10","Abrir facsímil")</f>
        <v>Abrir facsímil</v>
      </c>
      <c r="K453" s="15" t="s">
        <v>22</v>
      </c>
    </row>
    <row r="454" spans="1:11" ht="42" customHeight="1">
      <c r="A454" s="4" t="s">
        <v>1250</v>
      </c>
      <c r="B454" s="5" t="s">
        <v>1251</v>
      </c>
      <c r="C454" s="5" t="s">
        <v>27</v>
      </c>
      <c r="D454" s="5" t="s">
        <v>28</v>
      </c>
      <c r="E454" s="5" t="s">
        <v>453</v>
      </c>
      <c r="F454" s="9">
        <v>33</v>
      </c>
      <c r="G454" s="9">
        <v>367</v>
      </c>
      <c r="H454" s="5" t="s">
        <v>20</v>
      </c>
      <c r="I454" s="5" t="s">
        <v>1252</v>
      </c>
      <c r="J454" s="12" t="str">
        <f>HYPERLINK("https://www.boe.es/gazeta/dias/1804/04/24/pdfs/GMD-1804-33.pdf#page=9","Abrir facsímil")</f>
        <v>Abrir facsímil</v>
      </c>
      <c r="K454" s="15" t="s">
        <v>22</v>
      </c>
    </row>
    <row r="455" spans="1:11" ht="42" customHeight="1">
      <c r="A455" s="4" t="s">
        <v>1253</v>
      </c>
      <c r="B455" s="5" t="s">
        <v>1254</v>
      </c>
      <c r="C455" s="5" t="s">
        <v>120</v>
      </c>
      <c r="D455" s="5" t="s">
        <v>121</v>
      </c>
      <c r="E455" s="5" t="s">
        <v>33</v>
      </c>
      <c r="F455" s="9">
        <v>48</v>
      </c>
      <c r="G455" s="9" t="s">
        <v>122</v>
      </c>
      <c r="H455" s="5" t="s">
        <v>20</v>
      </c>
      <c r="I455" s="5" t="s">
        <v>1255</v>
      </c>
      <c r="J455" s="12" t="str">
        <f>HYPERLINK("https://www.boe.es/gazeta/dias/1804/06/15/pdfs/GMD-C-1804-48.pdf#page=3","Abrir facsímil")</f>
        <v>Abrir facsímil</v>
      </c>
      <c r="K455" s="15" t="s">
        <v>22</v>
      </c>
    </row>
    <row r="456" spans="1:11" ht="42" customHeight="1">
      <c r="A456" s="4" t="s">
        <v>1256</v>
      </c>
      <c r="B456" s="5" t="s">
        <v>1256</v>
      </c>
      <c r="C456" s="5" t="s">
        <v>27</v>
      </c>
      <c r="D456" s="5" t="s">
        <v>28</v>
      </c>
      <c r="E456" s="5" t="s">
        <v>50</v>
      </c>
      <c r="F456" s="9">
        <v>93</v>
      </c>
      <c r="G456" s="9">
        <v>1028</v>
      </c>
      <c r="H456" s="5" t="s">
        <v>20</v>
      </c>
      <c r="I456" s="5" t="s">
        <v>1257</v>
      </c>
      <c r="J456" s="12" t="str">
        <f>HYPERLINK("https://www.boe.es/gazeta/dias/1804/11/20/pdfs/GMD-1804-93.pdf#page=4","Abrir facsímil")</f>
        <v>Abrir facsímil</v>
      </c>
      <c r="K456" s="15" t="s">
        <v>22</v>
      </c>
    </row>
    <row r="457" spans="1:11" ht="42" customHeight="1">
      <c r="A457" s="4" t="s">
        <v>1258</v>
      </c>
      <c r="B457" s="5" t="s">
        <v>1259</v>
      </c>
      <c r="C457" s="5" t="s">
        <v>85</v>
      </c>
      <c r="D457" s="5" t="s">
        <v>86</v>
      </c>
      <c r="E457" s="5" t="s">
        <v>226</v>
      </c>
      <c r="F457" s="9">
        <v>17</v>
      </c>
      <c r="G457" s="9">
        <v>188</v>
      </c>
      <c r="H457" s="5" t="s">
        <v>20</v>
      </c>
      <c r="I457" s="5" t="s">
        <v>1260</v>
      </c>
      <c r="J457" s="12" t="str">
        <f>HYPERLINK("https://www.boe.es/gazeta/dias/1804/02/28/pdfs/GMD-1804-17.pdf#page=8","Abrir facsímil")</f>
        <v>Abrir facsímil</v>
      </c>
      <c r="K457" s="15" t="s">
        <v>22</v>
      </c>
    </row>
    <row r="458" spans="1:11" ht="42" customHeight="1">
      <c r="A458" s="4" t="s">
        <v>1261</v>
      </c>
      <c r="B458" s="5" t="s">
        <v>1262</v>
      </c>
      <c r="C458" s="5" t="s">
        <v>27</v>
      </c>
      <c r="D458" s="5" t="s">
        <v>28</v>
      </c>
      <c r="E458" s="5" t="s">
        <v>41</v>
      </c>
      <c r="F458" s="9">
        <v>24</v>
      </c>
      <c r="G458" s="9">
        <v>276</v>
      </c>
      <c r="H458" s="5" t="s">
        <v>20</v>
      </c>
      <c r="I458" s="5" t="s">
        <v>1263</v>
      </c>
      <c r="J458" s="12" t="str">
        <f>HYPERLINK("https://www.boe.es/gazeta/dias/1804/03/23/pdfs/GMD-1804-24.pdf#page=10","Abrir facsímil")</f>
        <v>Abrir facsímil</v>
      </c>
      <c r="K458" s="15" t="s">
        <v>22</v>
      </c>
    </row>
    <row r="459" spans="1:11" ht="42" customHeight="1">
      <c r="A459" s="4" t="s">
        <v>1264</v>
      </c>
      <c r="B459" s="5" t="s">
        <v>1265</v>
      </c>
      <c r="C459" s="5" t="s">
        <v>27</v>
      </c>
      <c r="D459" s="5" t="s">
        <v>28</v>
      </c>
      <c r="E459" s="5" t="s">
        <v>800</v>
      </c>
      <c r="F459" s="9">
        <v>45</v>
      </c>
      <c r="G459" s="9">
        <v>501</v>
      </c>
      <c r="H459" s="5" t="s">
        <v>20</v>
      </c>
      <c r="I459" s="5" t="s">
        <v>1266</v>
      </c>
      <c r="J459" s="12" t="str">
        <f>HYPERLINK("https://www.boe.es/gazeta/dias/1804/06/05/pdfs/GMD-1804-45.pdf#page=11","Abrir facsímil")</f>
        <v>Abrir facsímil</v>
      </c>
      <c r="K459" s="15" t="s">
        <v>22</v>
      </c>
    </row>
    <row r="460" spans="1:11" ht="42" customHeight="1">
      <c r="A460" s="4" t="s">
        <v>1267</v>
      </c>
      <c r="B460" s="5" t="s">
        <v>1267</v>
      </c>
      <c r="C460" s="5" t="s">
        <v>17</v>
      </c>
      <c r="D460" s="5" t="s">
        <v>18</v>
      </c>
      <c r="E460" s="5" t="s">
        <v>29</v>
      </c>
      <c r="F460" s="9">
        <v>88</v>
      </c>
      <c r="G460" s="9">
        <v>969</v>
      </c>
      <c r="H460" s="5" t="s">
        <v>20</v>
      </c>
      <c r="I460" s="5" t="s">
        <v>1268</v>
      </c>
      <c r="J460" s="12" t="str">
        <f>HYPERLINK("https://www.boe.es/gazeta/dias/1804/11/02/pdfs/GMD-1804-88.pdf#page=1","Abrir facsímil")</f>
        <v>Abrir facsímil</v>
      </c>
      <c r="K460" s="15" t="s">
        <v>22</v>
      </c>
    </row>
    <row r="461" spans="1:11" ht="42" customHeight="1">
      <c r="A461" s="4" t="s">
        <v>1269</v>
      </c>
      <c r="B461" s="5" t="s">
        <v>1270</v>
      </c>
      <c r="C461" s="5" t="s">
        <v>27</v>
      </c>
      <c r="D461" s="5" t="s">
        <v>28</v>
      </c>
      <c r="E461" s="5" t="s">
        <v>199</v>
      </c>
      <c r="F461" s="9">
        <v>46</v>
      </c>
      <c r="G461" s="9">
        <v>512</v>
      </c>
      <c r="H461" s="5" t="s">
        <v>20</v>
      </c>
      <c r="I461" s="5" t="s">
        <v>1271</v>
      </c>
      <c r="J461" s="12" t="str">
        <f>HYPERLINK("https://www.boe.es/gazeta/dias/1804/06/08/pdfs/GMD-1804-46.pdf#page=10","Abrir facsímil")</f>
        <v>Abrir facsímil</v>
      </c>
      <c r="K461" s="15" t="s">
        <v>22</v>
      </c>
    </row>
    <row r="462" spans="1:11" ht="42" customHeight="1">
      <c r="A462" s="4" t="s">
        <v>1272</v>
      </c>
      <c r="B462" s="5" t="s">
        <v>1273</v>
      </c>
      <c r="C462" s="5" t="s">
        <v>17</v>
      </c>
      <c r="D462" s="5" t="s">
        <v>18</v>
      </c>
      <c r="E462" s="5" t="s">
        <v>547</v>
      </c>
      <c r="F462" s="9">
        <v>68</v>
      </c>
      <c r="G462" s="9">
        <v>761</v>
      </c>
      <c r="H462" s="5" t="s">
        <v>20</v>
      </c>
      <c r="I462" s="5" t="s">
        <v>1274</v>
      </c>
      <c r="J462" s="12" t="str">
        <f>HYPERLINK("https://www.boe.es/gazeta/dias/1804/08/24/pdfs/GMD-1804-68.pdf#page=7","Abrir facsímil")</f>
        <v>Abrir facsímil</v>
      </c>
      <c r="K462" s="15" t="s">
        <v>22</v>
      </c>
    </row>
    <row r="463" spans="1:11" ht="42" customHeight="1">
      <c r="A463" s="4" t="s">
        <v>1275</v>
      </c>
      <c r="B463" s="5" t="s">
        <v>1276</v>
      </c>
      <c r="C463" s="5" t="s">
        <v>57</v>
      </c>
      <c r="D463" s="5" t="s">
        <v>58</v>
      </c>
      <c r="E463" s="5" t="s">
        <v>479</v>
      </c>
      <c r="F463" s="9">
        <v>5</v>
      </c>
      <c r="G463" s="9">
        <v>44</v>
      </c>
      <c r="H463" s="5" t="s">
        <v>20</v>
      </c>
      <c r="I463" s="5" t="s">
        <v>1277</v>
      </c>
      <c r="J463" s="12" t="str">
        <f>HYPERLINK("https://www.boe.es/gazeta/dias/1804/01/17/pdfs/GMD-1804-5.pdf#page=4","Abrir facsímil")</f>
        <v>Abrir facsímil</v>
      </c>
      <c r="K463" s="15" t="s">
        <v>22</v>
      </c>
    </row>
    <row r="464" spans="1:11" ht="42" customHeight="1">
      <c r="A464" s="4" t="s">
        <v>1275</v>
      </c>
      <c r="B464" s="5" t="s">
        <v>1276</v>
      </c>
      <c r="C464" s="5" t="s">
        <v>57</v>
      </c>
      <c r="D464" s="5" t="s">
        <v>58</v>
      </c>
      <c r="E464" s="5" t="s">
        <v>1278</v>
      </c>
      <c r="F464" s="9">
        <v>37</v>
      </c>
      <c r="G464" s="9">
        <v>409</v>
      </c>
      <c r="H464" s="5" t="s">
        <v>20</v>
      </c>
      <c r="I464" s="5" t="s">
        <v>1279</v>
      </c>
      <c r="J464" s="12" t="str">
        <f>HYPERLINK("https://www.boe.es/gazeta/dias/1804/05/08/pdfs/GMD-1804-37.pdf#page=7","Abrir facsímil")</f>
        <v>Abrir facsímil</v>
      </c>
      <c r="K464" s="15" t="s">
        <v>22</v>
      </c>
    </row>
    <row r="465" spans="1:11" ht="42" customHeight="1">
      <c r="A465" s="4" t="s">
        <v>1275</v>
      </c>
      <c r="B465" s="5" t="s">
        <v>1276</v>
      </c>
      <c r="C465" s="5" t="s">
        <v>57</v>
      </c>
      <c r="D465" s="5" t="s">
        <v>58</v>
      </c>
      <c r="E465" s="5" t="s">
        <v>50</v>
      </c>
      <c r="F465" s="9">
        <v>93</v>
      </c>
      <c r="G465" s="9">
        <v>1028</v>
      </c>
      <c r="H465" s="5" t="s">
        <v>20</v>
      </c>
      <c r="I465" s="5" t="s">
        <v>1280</v>
      </c>
      <c r="J465" s="12" t="str">
        <f>HYPERLINK("https://www.boe.es/gazeta/dias/1804/11/20/pdfs/GMD-1804-93.pdf#page=4","Abrir facsímil")</f>
        <v>Abrir facsímil</v>
      </c>
      <c r="K465" s="15" t="s">
        <v>22</v>
      </c>
    </row>
    <row r="466" spans="1:11" ht="42" customHeight="1">
      <c r="A466" s="4" t="s">
        <v>1281</v>
      </c>
      <c r="B466" s="5" t="s">
        <v>1282</v>
      </c>
      <c r="C466" s="5" t="s">
        <v>198</v>
      </c>
      <c r="D466" s="5" t="s">
        <v>66</v>
      </c>
      <c r="E466" s="5" t="s">
        <v>264</v>
      </c>
      <c r="F466" s="9">
        <v>49</v>
      </c>
      <c r="G466" s="9">
        <v>543</v>
      </c>
      <c r="H466" s="5" t="s">
        <v>20</v>
      </c>
      <c r="I466" s="5" t="s">
        <v>1283</v>
      </c>
      <c r="J466" s="12" t="str">
        <f>HYPERLINK("https://www.boe.es/gazeta/dias/1804/06/19/pdfs/GMD-1804-49.pdf#page=5","Abrir facsímil")</f>
        <v>Abrir facsímil</v>
      </c>
      <c r="K466" s="15" t="s">
        <v>22</v>
      </c>
    </row>
    <row r="467" spans="1:11" ht="42" customHeight="1">
      <c r="A467" s="4" t="s">
        <v>1284</v>
      </c>
      <c r="B467" s="5" t="s">
        <v>1285</v>
      </c>
      <c r="C467" s="5" t="s">
        <v>27</v>
      </c>
      <c r="D467" s="5" t="s">
        <v>28</v>
      </c>
      <c r="E467" s="5" t="s">
        <v>226</v>
      </c>
      <c r="F467" s="9">
        <v>17</v>
      </c>
      <c r="G467" s="9">
        <v>184</v>
      </c>
      <c r="H467" s="5" t="s">
        <v>20</v>
      </c>
      <c r="I467" s="5" t="s">
        <v>1286</v>
      </c>
      <c r="J467" s="12" t="str">
        <f>HYPERLINK("https://www.boe.es/gazeta/dias/1804/02/28/pdfs/GMD-1804-17.pdf#page=4","Abrir facsímil")</f>
        <v>Abrir facsímil</v>
      </c>
      <c r="K467" s="15" t="s">
        <v>22</v>
      </c>
    </row>
    <row r="468" spans="1:11" ht="42" customHeight="1">
      <c r="A468" s="4" t="s">
        <v>1284</v>
      </c>
      <c r="B468" s="5" t="s">
        <v>1285</v>
      </c>
      <c r="C468" s="5" t="s">
        <v>57</v>
      </c>
      <c r="D468" s="5" t="s">
        <v>58</v>
      </c>
      <c r="E468" s="5" t="s">
        <v>136</v>
      </c>
      <c r="F468" s="9">
        <v>23</v>
      </c>
      <c r="G468" s="9">
        <v>259</v>
      </c>
      <c r="H468" s="5" t="s">
        <v>20</v>
      </c>
      <c r="I468" s="5" t="s">
        <v>1287</v>
      </c>
      <c r="J468" s="12" t="str">
        <f>HYPERLINK("https://www.boe.es/gazeta/dias/1804/03/20/pdfs/GMD-1804-23.pdf#page=5","Abrir facsímil")</f>
        <v>Abrir facsímil</v>
      </c>
      <c r="K468" s="15" t="s">
        <v>22</v>
      </c>
    </row>
    <row r="469" spans="1:11" ht="42" customHeight="1">
      <c r="A469" s="4" t="s">
        <v>1288</v>
      </c>
      <c r="B469" s="5" t="s">
        <v>1289</v>
      </c>
      <c r="C469" s="5" t="s">
        <v>17</v>
      </c>
      <c r="D469" s="5" t="s">
        <v>18</v>
      </c>
      <c r="E469" s="5" t="s">
        <v>212</v>
      </c>
      <c r="F469" s="9">
        <v>89</v>
      </c>
      <c r="G469" s="9">
        <v>990</v>
      </c>
      <c r="H469" s="5" t="s">
        <v>20</v>
      </c>
      <c r="I469" s="5" t="s">
        <v>1290</v>
      </c>
      <c r="J469" s="12" t="str">
        <f>HYPERLINK("https://www.boe.es/gazeta/dias/1804/11/06/pdfs/GMD-1804-89.pdf#page=10","Abrir facsímil")</f>
        <v>Abrir facsímil</v>
      </c>
      <c r="K469" s="15" t="s">
        <v>22</v>
      </c>
    </row>
    <row r="470" spans="1:11" ht="42" customHeight="1">
      <c r="A470" s="4" t="s">
        <v>1291</v>
      </c>
      <c r="B470" s="5" t="s">
        <v>1292</v>
      </c>
      <c r="C470" s="5" t="s">
        <v>17</v>
      </c>
      <c r="D470" s="5" t="s">
        <v>18</v>
      </c>
      <c r="E470" s="5" t="s">
        <v>1020</v>
      </c>
      <c r="F470" s="9">
        <v>103</v>
      </c>
      <c r="G470" s="9">
        <v>1143</v>
      </c>
      <c r="H470" s="5" t="s">
        <v>20</v>
      </c>
      <c r="I470" s="5" t="s">
        <v>1293</v>
      </c>
      <c r="J470" s="12" t="str">
        <f>HYPERLINK("https://www.boe.es/gazeta/dias/1804/12/25/pdfs/GMD-1804-103.pdf#page=3","Abrir facsímil")</f>
        <v>Abrir facsímil</v>
      </c>
      <c r="K470" s="15" t="s">
        <v>22</v>
      </c>
    </row>
    <row r="471" spans="1:11" ht="42" customHeight="1">
      <c r="A471" s="4" t="s">
        <v>1294</v>
      </c>
      <c r="B471" s="5" t="s">
        <v>1295</v>
      </c>
      <c r="C471" s="5" t="s">
        <v>85</v>
      </c>
      <c r="D471" s="5" t="s">
        <v>86</v>
      </c>
      <c r="E471" s="5" t="s">
        <v>320</v>
      </c>
      <c r="F471" s="9">
        <v>31</v>
      </c>
      <c r="G471" s="9">
        <v>342</v>
      </c>
      <c r="H471" s="5" t="s">
        <v>20</v>
      </c>
      <c r="I471" s="5" t="s">
        <v>1296</v>
      </c>
      <c r="J471" s="12" t="str">
        <f>HYPERLINK("https://www.boe.es/gazeta/dias/1804/04/17/pdfs/GMD-1804-31.pdf#page=8","Abrir facsímil")</f>
        <v>Abrir facsímil</v>
      </c>
      <c r="K471" s="15" t="s">
        <v>22</v>
      </c>
    </row>
    <row r="472" spans="1:11" ht="42" customHeight="1">
      <c r="A472" s="4" t="s">
        <v>1297</v>
      </c>
      <c r="B472" s="5" t="s">
        <v>1298</v>
      </c>
      <c r="C472" s="5" t="s">
        <v>57</v>
      </c>
      <c r="D472" s="5" t="s">
        <v>58</v>
      </c>
      <c r="E472" s="5" t="s">
        <v>87</v>
      </c>
      <c r="F472" s="9">
        <v>9</v>
      </c>
      <c r="G472" s="9">
        <v>96</v>
      </c>
      <c r="H472" s="5" t="s">
        <v>20</v>
      </c>
      <c r="I472" s="5" t="s">
        <v>1299</v>
      </c>
      <c r="J472" s="12" t="str">
        <f>HYPERLINK("https://www.boe.es/gazeta/dias/1804/01/31/pdfs/GMD-1804-9.pdf#page=8","Abrir facsímil")</f>
        <v>Abrir facsímil</v>
      </c>
      <c r="K472" s="15" t="s">
        <v>22</v>
      </c>
    </row>
    <row r="473" spans="1:11" ht="42" customHeight="1">
      <c r="A473" s="4" t="s">
        <v>1300</v>
      </c>
      <c r="B473" s="5" t="s">
        <v>1301</v>
      </c>
      <c r="C473" s="5" t="s">
        <v>65</v>
      </c>
      <c r="D473" s="5" t="s">
        <v>66</v>
      </c>
      <c r="E473" s="5" t="s">
        <v>191</v>
      </c>
      <c r="F473" s="9">
        <v>101</v>
      </c>
      <c r="G473" s="9">
        <v>1128</v>
      </c>
      <c r="H473" s="5" t="s">
        <v>20</v>
      </c>
      <c r="I473" s="5" t="s">
        <v>1302</v>
      </c>
      <c r="J473" s="12" t="str">
        <f>HYPERLINK("https://www.boe.es/gazeta/dias/1804/12/18/pdfs/GMD-1804-101.pdf#page=8","Abrir facsímil")</f>
        <v>Abrir facsímil</v>
      </c>
      <c r="K473" s="15" t="s">
        <v>22</v>
      </c>
    </row>
    <row r="474" spans="1:11" ht="42" customHeight="1">
      <c r="A474" s="4" t="s">
        <v>1303</v>
      </c>
      <c r="B474" s="5" t="s">
        <v>1304</v>
      </c>
      <c r="C474" s="5" t="s">
        <v>57</v>
      </c>
      <c r="D474" s="5" t="s">
        <v>58</v>
      </c>
      <c r="E474" s="5" t="s">
        <v>241</v>
      </c>
      <c r="F474" s="9">
        <v>71</v>
      </c>
      <c r="G474" s="9">
        <v>789</v>
      </c>
      <c r="H474" s="5" t="s">
        <v>20</v>
      </c>
      <c r="I474" s="5" t="s">
        <v>1305</v>
      </c>
      <c r="J474" s="12" t="str">
        <f>HYPERLINK("https://www.boe.es/gazeta/dias/1804/09/04/pdfs/GMD-1804-71.pdf#page=3","Abrir facsímil")</f>
        <v>Abrir facsímil</v>
      </c>
      <c r="K474" s="15" t="s">
        <v>22</v>
      </c>
    </row>
    <row r="475" spans="1:11" ht="42" customHeight="1">
      <c r="A475" s="4" t="s">
        <v>1306</v>
      </c>
      <c r="B475" s="5" t="s">
        <v>1307</v>
      </c>
      <c r="C475" s="5" t="s">
        <v>85</v>
      </c>
      <c r="D475" s="5" t="s">
        <v>86</v>
      </c>
      <c r="E475" s="5" t="s">
        <v>81</v>
      </c>
      <c r="F475" s="9">
        <v>98</v>
      </c>
      <c r="G475" s="9">
        <v>1092</v>
      </c>
      <c r="H475" s="5" t="s">
        <v>20</v>
      </c>
      <c r="I475" s="5" t="s">
        <v>1308</v>
      </c>
      <c r="J475" s="12" t="str">
        <f>HYPERLINK("https://www.boe.es/gazeta/dias/1804/12/07/pdfs/GMD-1804-98.pdf#page=8","Abrir facsímil")</f>
        <v>Abrir facsímil</v>
      </c>
      <c r="K475" s="15" t="s">
        <v>22</v>
      </c>
    </row>
    <row r="476" spans="1:11" ht="42" customHeight="1">
      <c r="A476" s="4" t="s">
        <v>1309</v>
      </c>
      <c r="B476" s="5" t="s">
        <v>1310</v>
      </c>
      <c r="C476" s="5" t="s">
        <v>27</v>
      </c>
      <c r="D476" s="5" t="s">
        <v>28</v>
      </c>
      <c r="E476" s="5" t="s">
        <v>81</v>
      </c>
      <c r="F476" s="9">
        <v>98</v>
      </c>
      <c r="G476" s="9">
        <v>1092</v>
      </c>
      <c r="H476" s="5" t="s">
        <v>20</v>
      </c>
      <c r="I476" s="5" t="s">
        <v>1311</v>
      </c>
      <c r="J476" s="12" t="str">
        <f>HYPERLINK("https://www.boe.es/gazeta/dias/1804/12/07/pdfs/GMD-1804-98.pdf#page=8","Abrir facsímil")</f>
        <v>Abrir facsímil</v>
      </c>
      <c r="K476" s="15" t="s">
        <v>22</v>
      </c>
    </row>
    <row r="477" spans="1:11" ht="42" customHeight="1">
      <c r="A477" s="4" t="s">
        <v>1312</v>
      </c>
      <c r="B477" s="5" t="s">
        <v>1313</v>
      </c>
      <c r="C477" s="5" t="s">
        <v>17</v>
      </c>
      <c r="D477" s="5" t="s">
        <v>18</v>
      </c>
      <c r="E477" s="5" t="s">
        <v>71</v>
      </c>
      <c r="F477" s="9">
        <v>99</v>
      </c>
      <c r="G477" s="9">
        <v>1106</v>
      </c>
      <c r="H477" s="5" t="s">
        <v>20</v>
      </c>
      <c r="I477" s="5" t="s">
        <v>1314</v>
      </c>
      <c r="J477" s="12" t="str">
        <f>HYPERLINK("https://www.boe.es/gazeta/dias/1804/12/11/pdfs/GMD-1804-99.pdf#page=6","Abrir facsímil")</f>
        <v>Abrir facsímil</v>
      </c>
      <c r="K477" s="15" t="s">
        <v>22</v>
      </c>
    </row>
    <row r="478" spans="1:11" ht="42" customHeight="1">
      <c r="A478" s="4" t="s">
        <v>1315</v>
      </c>
      <c r="B478" s="5" t="s">
        <v>1316</v>
      </c>
      <c r="C478" s="5" t="s">
        <v>27</v>
      </c>
      <c r="D478" s="5" t="s">
        <v>28</v>
      </c>
      <c r="E478" s="5" t="s">
        <v>264</v>
      </c>
      <c r="F478" s="9">
        <v>49</v>
      </c>
      <c r="G478" s="9">
        <v>544</v>
      </c>
      <c r="H478" s="5" t="s">
        <v>20</v>
      </c>
      <c r="I478" s="5" t="s">
        <v>1317</v>
      </c>
      <c r="J478" s="12" t="str">
        <f>HYPERLINK("https://www.boe.es/gazeta/dias/1804/06/19/pdfs/GMD-1804-49.pdf#page=6","Abrir facsímil")</f>
        <v>Abrir facsímil</v>
      </c>
      <c r="K478" s="15" t="s">
        <v>22</v>
      </c>
    </row>
    <row r="479" spans="1:11" ht="42" customHeight="1">
      <c r="A479" s="4" t="s">
        <v>1318</v>
      </c>
      <c r="B479" s="5" t="s">
        <v>1319</v>
      </c>
      <c r="C479" s="5" t="s">
        <v>27</v>
      </c>
      <c r="D479" s="5" t="s">
        <v>28</v>
      </c>
      <c r="E479" s="5" t="s">
        <v>317</v>
      </c>
      <c r="F479" s="9">
        <v>56</v>
      </c>
      <c r="G479" s="9">
        <v>617</v>
      </c>
      <c r="H479" s="5" t="s">
        <v>20</v>
      </c>
      <c r="I479" s="5" t="s">
        <v>1320</v>
      </c>
      <c r="J479" s="12" t="str">
        <f>HYPERLINK("https://www.boe.es/gazeta/dias/1804/07/13/pdfs/GMD-1804-56.pdf#page=3","Abrir facsímil")</f>
        <v>Abrir facsímil</v>
      </c>
      <c r="K479" s="15" t="s">
        <v>22</v>
      </c>
    </row>
    <row r="480" spans="1:11" ht="42" customHeight="1">
      <c r="A480" s="4" t="s">
        <v>1321</v>
      </c>
      <c r="B480" s="5" t="s">
        <v>1321</v>
      </c>
      <c r="C480" s="5" t="s">
        <v>17</v>
      </c>
      <c r="D480" s="5" t="s">
        <v>18</v>
      </c>
      <c r="E480" s="5" t="s">
        <v>547</v>
      </c>
      <c r="F480" s="9">
        <v>68</v>
      </c>
      <c r="G480" s="9">
        <v>762</v>
      </c>
      <c r="H480" s="5" t="s">
        <v>20</v>
      </c>
      <c r="I480" s="5" t="s">
        <v>1322</v>
      </c>
      <c r="J480" s="12" t="str">
        <f>HYPERLINK("https://www.boe.es/gazeta/dias/1804/08/24/pdfs/GMD-1804-68.pdf#page=8","Abrir facsímil")</f>
        <v>Abrir facsímil</v>
      </c>
      <c r="K480" s="15" t="s">
        <v>22</v>
      </c>
    </row>
    <row r="481" spans="1:11" ht="42" customHeight="1">
      <c r="A481" s="4" t="s">
        <v>1323</v>
      </c>
      <c r="B481" s="5" t="s">
        <v>1324</v>
      </c>
      <c r="C481" s="5" t="s">
        <v>57</v>
      </c>
      <c r="D481" s="5" t="s">
        <v>58</v>
      </c>
      <c r="E481" s="5" t="s">
        <v>272</v>
      </c>
      <c r="F481" s="9">
        <v>30</v>
      </c>
      <c r="G481" s="9">
        <v>324</v>
      </c>
      <c r="H481" s="5" t="s">
        <v>20</v>
      </c>
      <c r="I481" s="5" t="s">
        <v>1325</v>
      </c>
      <c r="J481" s="12" t="str">
        <f>HYPERLINK("https://www.boe.es/gazeta/dias/1804/04/13/pdfs/GMD-1804-30.pdf#page=2","Abrir facsímil")</f>
        <v>Abrir facsímil</v>
      </c>
      <c r="K481" s="15" t="s">
        <v>22</v>
      </c>
    </row>
    <row r="482" spans="1:11" ht="42" customHeight="1">
      <c r="A482" s="4" t="s">
        <v>1326</v>
      </c>
      <c r="B482" s="5" t="s">
        <v>1327</v>
      </c>
      <c r="C482" s="5" t="s">
        <v>27</v>
      </c>
      <c r="D482" s="5" t="s">
        <v>28</v>
      </c>
      <c r="E482" s="5" t="s">
        <v>91</v>
      </c>
      <c r="F482" s="9">
        <v>72</v>
      </c>
      <c r="G482" s="9">
        <v>806</v>
      </c>
      <c r="H482" s="5" t="s">
        <v>20</v>
      </c>
      <c r="I482" s="5" t="s">
        <v>1328</v>
      </c>
      <c r="J482" s="12" t="str">
        <f>HYPERLINK("https://www.boe.es/gazeta/dias/1804/09/07/pdfs/GMD-1804-72.pdf#page=8","Abrir facsímil")</f>
        <v>Abrir facsímil</v>
      </c>
      <c r="K482" s="15" t="s">
        <v>22</v>
      </c>
    </row>
    <row r="483" spans="1:11" ht="42" customHeight="1">
      <c r="A483" s="4" t="s">
        <v>1329</v>
      </c>
      <c r="B483" s="5" t="s">
        <v>1330</v>
      </c>
      <c r="C483" s="5" t="s">
        <v>17</v>
      </c>
      <c r="D483" s="5" t="s">
        <v>18</v>
      </c>
      <c r="E483" s="5" t="s">
        <v>159</v>
      </c>
      <c r="F483" s="9">
        <v>15</v>
      </c>
      <c r="G483" s="9">
        <v>163</v>
      </c>
      <c r="H483" s="5" t="s">
        <v>20</v>
      </c>
      <c r="I483" s="5" t="s">
        <v>1331</v>
      </c>
      <c r="J483" s="12" t="str">
        <f>HYPERLINK("https://www.boe.es/gazeta/dias/1804/02/21/pdfs/GMD-1804-15.pdf#page=7","Abrir facsímil")</f>
        <v>Abrir facsímil</v>
      </c>
      <c r="K483" s="15" t="s">
        <v>22</v>
      </c>
    </row>
    <row r="484" spans="1:11" ht="42" customHeight="1">
      <c r="A484" s="4" t="s">
        <v>1332</v>
      </c>
      <c r="B484" s="5" t="s">
        <v>1333</v>
      </c>
      <c r="C484" s="5" t="s">
        <v>120</v>
      </c>
      <c r="D484" s="5" t="s">
        <v>121</v>
      </c>
      <c r="E484" s="5" t="s">
        <v>33</v>
      </c>
      <c r="F484" s="9">
        <v>48</v>
      </c>
      <c r="G484" s="9" t="s">
        <v>98</v>
      </c>
      <c r="H484" s="5" t="s">
        <v>20</v>
      </c>
      <c r="I484" s="5" t="s">
        <v>1334</v>
      </c>
      <c r="J484" s="12" t="str">
        <f>HYPERLINK("https://www.boe.es/gazeta/dias/1804/06/15/pdfs/GMD-C-1804-48.pdf#page=1","Abrir facsímil")</f>
        <v>Abrir facsímil</v>
      </c>
      <c r="K484" s="15" t="s">
        <v>22</v>
      </c>
    </row>
    <row r="485" spans="1:11" ht="42" customHeight="1">
      <c r="A485" s="4" t="s">
        <v>1335</v>
      </c>
      <c r="B485" s="5" t="s">
        <v>1336</v>
      </c>
      <c r="C485" s="5" t="s">
        <v>27</v>
      </c>
      <c r="D485" s="5" t="s">
        <v>28</v>
      </c>
      <c r="E485" s="5" t="s">
        <v>1337</v>
      </c>
      <c r="F485" s="9">
        <v>7</v>
      </c>
      <c r="G485" s="9">
        <v>70</v>
      </c>
      <c r="H485" s="5" t="s">
        <v>20</v>
      </c>
      <c r="I485" s="5" t="s">
        <v>1338</v>
      </c>
      <c r="J485" s="12" t="str">
        <f>HYPERLINK("https://www.boe.es/gazeta/dias/1804/01/24/pdfs/GMD-1804-7.pdf#page=10","Abrir facsímil")</f>
        <v>Abrir facsímil</v>
      </c>
      <c r="K485" s="15" t="s">
        <v>22</v>
      </c>
    </row>
    <row r="486" spans="1:11" ht="42" customHeight="1">
      <c r="A486" s="4" t="s">
        <v>1339</v>
      </c>
      <c r="B486" s="5" t="s">
        <v>1340</v>
      </c>
      <c r="C486" s="5" t="s">
        <v>65</v>
      </c>
      <c r="D486" s="5" t="s">
        <v>66</v>
      </c>
      <c r="E486" s="5" t="s">
        <v>216</v>
      </c>
      <c r="F486" s="9">
        <v>67</v>
      </c>
      <c r="G486" s="9">
        <v>750</v>
      </c>
      <c r="H486" s="5" t="s">
        <v>20</v>
      </c>
      <c r="I486" s="5" t="s">
        <v>1341</v>
      </c>
      <c r="J486" s="12" t="str">
        <f>HYPERLINK("https://www.boe.es/gazeta/dias/1804/08/21/pdfs/GMD-1804-67.pdf#page=8","Abrir facsímil")</f>
        <v>Abrir facsímil</v>
      </c>
      <c r="K486" s="15" t="s">
        <v>22</v>
      </c>
    </row>
    <row r="487" spans="1:11" ht="42" customHeight="1">
      <c r="A487" s="4" t="s">
        <v>1342</v>
      </c>
      <c r="B487" s="5" t="s">
        <v>1343</v>
      </c>
      <c r="C487" s="5" t="s">
        <v>65</v>
      </c>
      <c r="D487" s="5" t="s">
        <v>66</v>
      </c>
      <c r="E487" s="5" t="s">
        <v>163</v>
      </c>
      <c r="F487" s="9">
        <v>70</v>
      </c>
      <c r="G487" s="9">
        <v>784</v>
      </c>
      <c r="H487" s="5" t="s">
        <v>20</v>
      </c>
      <c r="I487" s="5" t="s">
        <v>1344</v>
      </c>
      <c r="J487" s="12" t="str">
        <f>HYPERLINK("https://www.boe.es/gazeta/dias/1804/08/31/pdfs/GMD-1804-70.pdf#page=6","Abrir facsímil")</f>
        <v>Abrir facsímil</v>
      </c>
      <c r="K487" s="15" t="s">
        <v>22</v>
      </c>
    </row>
    <row r="488" spans="1:11" ht="42" customHeight="1">
      <c r="A488" s="4" t="s">
        <v>1345</v>
      </c>
      <c r="B488" s="5" t="s">
        <v>1346</v>
      </c>
      <c r="C488" s="5" t="s">
        <v>17</v>
      </c>
      <c r="D488" s="5" t="s">
        <v>18</v>
      </c>
      <c r="E488" s="5" t="s">
        <v>54</v>
      </c>
      <c r="F488" s="9">
        <v>63</v>
      </c>
      <c r="G488" s="9">
        <v>700</v>
      </c>
      <c r="H488" s="5" t="s">
        <v>20</v>
      </c>
      <c r="I488" s="5" t="s">
        <v>1347</v>
      </c>
      <c r="J488" s="12" t="str">
        <f>HYPERLINK("https://www.boe.es/gazeta/dias/1804/08/07/pdfs/GMD-1804-63.pdf#page=10","Abrir facsímil")</f>
        <v>Abrir facsímil</v>
      </c>
      <c r="K488" s="15" t="s">
        <v>22</v>
      </c>
    </row>
    <row r="489" spans="1:11" ht="42" customHeight="1">
      <c r="A489" s="4" t="s">
        <v>1348</v>
      </c>
      <c r="B489" s="5" t="s">
        <v>1348</v>
      </c>
      <c r="C489" s="5" t="s">
        <v>57</v>
      </c>
      <c r="D489" s="5" t="s">
        <v>58</v>
      </c>
      <c r="E489" s="5" t="s">
        <v>678</v>
      </c>
      <c r="F489" s="9">
        <v>104</v>
      </c>
      <c r="G489" s="9">
        <v>1155</v>
      </c>
      <c r="H489" s="5" t="s">
        <v>20</v>
      </c>
      <c r="I489" s="5" t="s">
        <v>1349</v>
      </c>
      <c r="J489" s="12" t="str">
        <f>HYPERLINK("https://www.boe.es/gazeta/dias/1804/12/28/pdfs/GMD-1804-104.pdf#page=3","Abrir facsímil")</f>
        <v>Abrir facsímil</v>
      </c>
      <c r="K489" s="15" t="s">
        <v>22</v>
      </c>
    </row>
    <row r="490" spans="1:11" ht="42" customHeight="1">
      <c r="A490" s="4" t="s">
        <v>1350</v>
      </c>
      <c r="B490" s="5" t="s">
        <v>1351</v>
      </c>
      <c r="C490" s="5" t="s">
        <v>198</v>
      </c>
      <c r="D490" s="5" t="s">
        <v>66</v>
      </c>
      <c r="E490" s="5" t="s">
        <v>308</v>
      </c>
      <c r="F490" s="9">
        <v>96</v>
      </c>
      <c r="G490" s="9">
        <v>1069</v>
      </c>
      <c r="H490" s="5" t="s">
        <v>20</v>
      </c>
      <c r="I490" s="5" t="s">
        <v>1352</v>
      </c>
      <c r="J490" s="12" t="str">
        <f>HYPERLINK("https://www.boe.es/gazeta/dias/1804/11/30/pdfs/GMD-1804-96.pdf#page=9","Abrir facsímil")</f>
        <v>Abrir facsímil</v>
      </c>
      <c r="K490" s="15" t="s">
        <v>22</v>
      </c>
    </row>
    <row r="491" spans="1:11" ht="42" customHeight="1">
      <c r="A491" s="4" t="s">
        <v>1353</v>
      </c>
      <c r="B491" s="5" t="s">
        <v>1353</v>
      </c>
      <c r="C491" s="5" t="s">
        <v>27</v>
      </c>
      <c r="D491" s="5" t="s">
        <v>28</v>
      </c>
      <c r="E491" s="5" t="s">
        <v>704</v>
      </c>
      <c r="F491" s="9">
        <v>36</v>
      </c>
      <c r="G491" s="9">
        <v>400</v>
      </c>
      <c r="H491" s="5" t="s">
        <v>20</v>
      </c>
      <c r="I491" s="5" t="s">
        <v>1354</v>
      </c>
      <c r="J491" s="12" t="str">
        <f>HYPERLINK("https://www.boe.es/gazeta/dias/1804/05/04/pdfs/GMD-1804-36.pdf#page=10","Abrir facsímil")</f>
        <v>Abrir facsímil</v>
      </c>
      <c r="K491" s="15" t="s">
        <v>22</v>
      </c>
    </row>
    <row r="492" spans="1:11" ht="42" customHeight="1">
      <c r="A492" s="4" t="s">
        <v>1355</v>
      </c>
      <c r="B492" s="5" t="s">
        <v>1356</v>
      </c>
      <c r="C492" s="5" t="s">
        <v>27</v>
      </c>
      <c r="D492" s="5" t="s">
        <v>28</v>
      </c>
      <c r="E492" s="5" t="s">
        <v>709</v>
      </c>
      <c r="F492" s="9">
        <v>82</v>
      </c>
      <c r="G492" s="9">
        <v>907</v>
      </c>
      <c r="H492" s="5" t="s">
        <v>20</v>
      </c>
      <c r="I492" s="5" t="s">
        <v>1357</v>
      </c>
      <c r="J492" s="12" t="str">
        <f>HYPERLINK("https://www.boe.es/gazeta/dias/1804/10/12/pdfs/GMD-1804-82.pdf#page=9","Abrir facsímil")</f>
        <v>Abrir facsímil</v>
      </c>
      <c r="K492" s="15" t="s">
        <v>22</v>
      </c>
    </row>
    <row r="493" spans="1:11" ht="42" customHeight="1">
      <c r="A493" s="4" t="s">
        <v>1358</v>
      </c>
      <c r="B493" s="5" t="s">
        <v>1359</v>
      </c>
      <c r="C493" s="5" t="s">
        <v>27</v>
      </c>
      <c r="D493" s="5" t="s">
        <v>28</v>
      </c>
      <c r="E493" s="5" t="s">
        <v>709</v>
      </c>
      <c r="F493" s="9">
        <v>82</v>
      </c>
      <c r="G493" s="9">
        <v>907</v>
      </c>
      <c r="H493" s="5" t="s">
        <v>20</v>
      </c>
      <c r="I493" s="5" t="s">
        <v>1360</v>
      </c>
      <c r="J493" s="12" t="str">
        <f>HYPERLINK("https://www.boe.es/gazeta/dias/1804/10/12/pdfs/GMD-1804-82.pdf#page=9","Abrir facsímil")</f>
        <v>Abrir facsímil</v>
      </c>
      <c r="K493" s="15" t="s">
        <v>22</v>
      </c>
    </row>
    <row r="494" spans="1:11" ht="42" customHeight="1">
      <c r="A494" s="4" t="s">
        <v>1361</v>
      </c>
      <c r="B494" s="5" t="s">
        <v>1362</v>
      </c>
      <c r="C494" s="5" t="s">
        <v>17</v>
      </c>
      <c r="D494" s="5" t="s">
        <v>18</v>
      </c>
      <c r="E494" s="5" t="s">
        <v>178</v>
      </c>
      <c r="F494" s="9">
        <v>20</v>
      </c>
      <c r="G494" s="9">
        <v>222</v>
      </c>
      <c r="H494" s="5" t="s">
        <v>20</v>
      </c>
      <c r="I494" s="5" t="s">
        <v>1363</v>
      </c>
      <c r="J494" s="12" t="str">
        <f>HYPERLINK("https://www.boe.es/gazeta/dias/1804/03/09/pdfs/GMD-1804-20.pdf#page=10","Abrir facsímil")</f>
        <v>Abrir facsímil</v>
      </c>
      <c r="K494" s="15" t="s">
        <v>22</v>
      </c>
    </row>
    <row r="495" spans="1:11" ht="42" customHeight="1">
      <c r="A495" s="4" t="s">
        <v>1364</v>
      </c>
      <c r="B495" s="5" t="s">
        <v>1365</v>
      </c>
      <c r="C495" s="5" t="s">
        <v>27</v>
      </c>
      <c r="D495" s="5" t="s">
        <v>28</v>
      </c>
      <c r="E495" s="5" t="s">
        <v>136</v>
      </c>
      <c r="F495" s="9">
        <v>23</v>
      </c>
      <c r="G495" s="9">
        <v>261</v>
      </c>
      <c r="H495" s="5" t="s">
        <v>20</v>
      </c>
      <c r="I495" s="5" t="s">
        <v>1366</v>
      </c>
      <c r="J495" s="12" t="str">
        <f>HYPERLINK("https://www.boe.es/gazeta/dias/1804/03/20/pdfs/GMD-1804-23.pdf#page=7","Abrir facsímil")</f>
        <v>Abrir facsímil</v>
      </c>
      <c r="K495" s="15" t="s">
        <v>22</v>
      </c>
    </row>
    <row r="496" spans="1:11" ht="42" customHeight="1">
      <c r="A496" s="4" t="s">
        <v>1367</v>
      </c>
      <c r="B496" s="5" t="s">
        <v>1368</v>
      </c>
      <c r="C496" s="5" t="s">
        <v>17</v>
      </c>
      <c r="D496" s="5" t="s">
        <v>18</v>
      </c>
      <c r="E496" s="5" t="s">
        <v>71</v>
      </c>
      <c r="F496" s="9">
        <v>99</v>
      </c>
      <c r="G496" s="9">
        <v>1107</v>
      </c>
      <c r="H496" s="5" t="s">
        <v>20</v>
      </c>
      <c r="I496" s="5" t="s">
        <v>1369</v>
      </c>
      <c r="J496" s="12" t="str">
        <f>HYPERLINK("https://www.boe.es/gazeta/dias/1804/12/11/pdfs/GMD-1804-99.pdf#page=7","Abrir facsímil")</f>
        <v>Abrir facsímil</v>
      </c>
      <c r="K496" s="15" t="s">
        <v>22</v>
      </c>
    </row>
    <row r="497" spans="1:11" ht="42" customHeight="1">
      <c r="A497" s="4" t="s">
        <v>1370</v>
      </c>
      <c r="B497" s="5" t="s">
        <v>1370</v>
      </c>
      <c r="C497" s="5" t="s">
        <v>17</v>
      </c>
      <c r="D497" s="5" t="s">
        <v>18</v>
      </c>
      <c r="E497" s="5" t="s">
        <v>427</v>
      </c>
      <c r="F497" s="9">
        <v>80</v>
      </c>
      <c r="G497" s="9">
        <v>890</v>
      </c>
      <c r="H497" s="5" t="s">
        <v>20</v>
      </c>
      <c r="I497" s="5" t="s">
        <v>1371</v>
      </c>
      <c r="J497" s="12" t="str">
        <f>HYPERLINK("https://www.boe.es/gazeta/dias/1804/10/05/pdfs/GMD-1804-80.pdf#page=8","Abrir facsímil")</f>
        <v>Abrir facsímil</v>
      </c>
      <c r="K497" s="15" t="s">
        <v>22</v>
      </c>
    </row>
    <row r="498" spans="1:11" ht="42" customHeight="1">
      <c r="A498" s="4" t="s">
        <v>1372</v>
      </c>
      <c r="B498" s="5" t="s">
        <v>1373</v>
      </c>
      <c r="C498" s="5" t="s">
        <v>17</v>
      </c>
      <c r="D498" s="5" t="s">
        <v>18</v>
      </c>
      <c r="E498" s="5" t="s">
        <v>234</v>
      </c>
      <c r="F498" s="9">
        <v>86</v>
      </c>
      <c r="G498" s="9">
        <v>946</v>
      </c>
      <c r="H498" s="5" t="s">
        <v>20</v>
      </c>
      <c r="I498" s="5" t="s">
        <v>1374</v>
      </c>
      <c r="J498" s="12" t="str">
        <f>HYPERLINK("https://www.boe.es/gazeta/dias/1804/10/26/pdfs/GMD-1804-86.pdf#page=4","Abrir facsímil")</f>
        <v>Abrir facsímil</v>
      </c>
      <c r="K498" s="15" t="s">
        <v>22</v>
      </c>
    </row>
    <row r="499" spans="1:11" ht="42" customHeight="1">
      <c r="A499" s="4" t="s">
        <v>1375</v>
      </c>
      <c r="B499" s="5" t="s">
        <v>1376</v>
      </c>
      <c r="C499" s="5" t="s">
        <v>17</v>
      </c>
      <c r="D499" s="5" t="s">
        <v>18</v>
      </c>
      <c r="E499" s="5" t="s">
        <v>143</v>
      </c>
      <c r="F499" s="9">
        <v>87</v>
      </c>
      <c r="G499" s="9">
        <v>961</v>
      </c>
      <c r="H499" s="5" t="s">
        <v>20</v>
      </c>
      <c r="I499" s="5" t="s">
        <v>1377</v>
      </c>
      <c r="J499" s="12" t="str">
        <f>HYPERLINK("https://www.boe.es/gazeta/dias/1804/10/30/pdfs/GMD-1804-87.pdf#page=5","Abrir facsímil")</f>
        <v>Abrir facsímil</v>
      </c>
      <c r="K499" s="15" t="s">
        <v>22</v>
      </c>
    </row>
    <row r="500" spans="1:11" ht="42" customHeight="1">
      <c r="A500" s="4" t="s">
        <v>1375</v>
      </c>
      <c r="B500" s="5" t="s">
        <v>1376</v>
      </c>
      <c r="C500" s="5" t="s">
        <v>57</v>
      </c>
      <c r="D500" s="5" t="s">
        <v>58</v>
      </c>
      <c r="E500" s="5" t="s">
        <v>50</v>
      </c>
      <c r="F500" s="9">
        <v>93</v>
      </c>
      <c r="G500" s="9">
        <v>1029</v>
      </c>
      <c r="H500" s="5" t="s">
        <v>20</v>
      </c>
      <c r="I500" s="5" t="s">
        <v>1378</v>
      </c>
      <c r="J500" s="12" t="str">
        <f>HYPERLINK("https://www.boe.es/gazeta/dias/1804/11/20/pdfs/GMD-1804-93.pdf#page=5","Abrir facsímil")</f>
        <v>Abrir facsímil</v>
      </c>
      <c r="K500" s="15" t="s">
        <v>22</v>
      </c>
    </row>
    <row r="501" spans="1:11" ht="42" customHeight="1">
      <c r="A501" s="4" t="s">
        <v>1379</v>
      </c>
      <c r="B501" s="5" t="s">
        <v>1379</v>
      </c>
      <c r="C501" s="5" t="s">
        <v>17</v>
      </c>
      <c r="D501" s="5" t="s">
        <v>18</v>
      </c>
      <c r="E501" s="5" t="s">
        <v>511</v>
      </c>
      <c r="F501" s="9">
        <v>12</v>
      </c>
      <c r="G501" s="9">
        <v>134</v>
      </c>
      <c r="H501" s="5" t="s">
        <v>20</v>
      </c>
      <c r="I501" s="5" t="s">
        <v>1380</v>
      </c>
      <c r="J501" s="12" t="str">
        <f>HYPERLINK("https://www.boe.es/gazeta/dias/1804/02/10/pdfs/GMD-1804-12.pdf#page=10","Abrir facsímil")</f>
        <v>Abrir facsímil</v>
      </c>
      <c r="K501" s="15" t="s">
        <v>22</v>
      </c>
    </row>
    <row r="502" spans="1:11" ht="42" customHeight="1">
      <c r="A502" s="4" t="s">
        <v>1381</v>
      </c>
      <c r="B502" s="5" t="s">
        <v>1382</v>
      </c>
      <c r="C502" s="5" t="s">
        <v>57</v>
      </c>
      <c r="D502" s="5" t="s">
        <v>58</v>
      </c>
      <c r="E502" s="5" t="s">
        <v>302</v>
      </c>
      <c r="F502" s="9">
        <v>3</v>
      </c>
      <c r="G502" s="9">
        <v>21</v>
      </c>
      <c r="H502" s="5" t="s">
        <v>20</v>
      </c>
      <c r="I502" s="5" t="s">
        <v>1383</v>
      </c>
      <c r="J502" s="12" t="str">
        <f>HYPERLINK("https://www.boe.es/gazeta/dias/1804/01/10/pdfs/GMD-1804-3.pdf#page=1","Abrir facsímil")</f>
        <v>Abrir facsímil</v>
      </c>
      <c r="K502" s="15" t="s">
        <v>22</v>
      </c>
    </row>
    <row r="503" spans="1:11" ht="42" customHeight="1">
      <c r="A503" s="4" t="s">
        <v>1381</v>
      </c>
      <c r="B503" s="5" t="s">
        <v>1382</v>
      </c>
      <c r="C503" s="5" t="s">
        <v>27</v>
      </c>
      <c r="D503" s="5" t="s">
        <v>28</v>
      </c>
      <c r="E503" s="5" t="s">
        <v>103</v>
      </c>
      <c r="F503" s="9">
        <v>11</v>
      </c>
      <c r="G503" s="9">
        <v>113</v>
      </c>
      <c r="H503" s="5" t="s">
        <v>20</v>
      </c>
      <c r="I503" s="5" t="s">
        <v>1384</v>
      </c>
      <c r="J503" s="12" t="str">
        <f>HYPERLINK("https://www.boe.es/gazeta/dias/1804/02/07/pdfs/GMD-1804-11.pdf#page=1","Abrir facsímil")</f>
        <v>Abrir facsímil</v>
      </c>
      <c r="K503" s="15" t="s">
        <v>22</v>
      </c>
    </row>
    <row r="504" spans="1:11" ht="42" customHeight="1">
      <c r="A504" s="4" t="s">
        <v>1381</v>
      </c>
      <c r="B504" s="5" t="s">
        <v>1382</v>
      </c>
      <c r="C504" s="5" t="s">
        <v>57</v>
      </c>
      <c r="D504" s="5" t="s">
        <v>58</v>
      </c>
      <c r="E504" s="5" t="s">
        <v>542</v>
      </c>
      <c r="F504" s="9">
        <v>54</v>
      </c>
      <c r="G504" s="9">
        <v>597</v>
      </c>
      <c r="H504" s="5" t="s">
        <v>20</v>
      </c>
      <c r="I504" s="5" t="s">
        <v>1385</v>
      </c>
      <c r="J504" s="12" t="str">
        <f>HYPERLINK("https://www.boe.es/gazeta/dias/1804/07/06/pdfs/GMD-1804-54.pdf#page=3","Abrir facsímil")</f>
        <v>Abrir facsímil</v>
      </c>
      <c r="K504" s="15" t="s">
        <v>22</v>
      </c>
    </row>
    <row r="505" spans="1:11" ht="42" customHeight="1">
      <c r="A505" s="4" t="s">
        <v>1381</v>
      </c>
      <c r="B505" s="5" t="s">
        <v>1382</v>
      </c>
      <c r="C505" s="5" t="s">
        <v>65</v>
      </c>
      <c r="D505" s="5" t="s">
        <v>66</v>
      </c>
      <c r="E505" s="5" t="s">
        <v>317</v>
      </c>
      <c r="F505" s="9">
        <v>56</v>
      </c>
      <c r="G505" s="9">
        <v>615</v>
      </c>
      <c r="H505" s="5" t="s">
        <v>20</v>
      </c>
      <c r="I505" s="5" t="s">
        <v>1386</v>
      </c>
      <c r="J505" s="12" t="str">
        <f>HYPERLINK("https://www.boe.es/gazeta/dias/1804/07/13/pdfs/GMD-1804-56.pdf#page=1","Abrir facsímil")</f>
        <v>Abrir facsímil</v>
      </c>
      <c r="K505" s="15" t="s">
        <v>22</v>
      </c>
    </row>
    <row r="506" spans="1:11" ht="42" customHeight="1">
      <c r="A506" s="4" t="s">
        <v>1381</v>
      </c>
      <c r="B506" s="5" t="s">
        <v>1382</v>
      </c>
      <c r="C506" s="5" t="s">
        <v>27</v>
      </c>
      <c r="D506" s="5" t="s">
        <v>28</v>
      </c>
      <c r="E506" s="5" t="s">
        <v>47</v>
      </c>
      <c r="F506" s="9">
        <v>78</v>
      </c>
      <c r="G506" s="9">
        <v>863</v>
      </c>
      <c r="H506" s="5" t="s">
        <v>20</v>
      </c>
      <c r="I506" s="5" t="s">
        <v>1387</v>
      </c>
      <c r="J506" s="12" t="str">
        <f>HYPERLINK("https://www.boe.es/gazeta/dias/1804/09/28/pdfs/GMD-1804-78.pdf#page=1","Abrir facsímil")</f>
        <v>Abrir facsímil</v>
      </c>
      <c r="K506" s="15" t="s">
        <v>22</v>
      </c>
    </row>
    <row r="507" spans="1:11" ht="42" customHeight="1">
      <c r="A507" s="4" t="s">
        <v>1381</v>
      </c>
      <c r="B507" s="5" t="s">
        <v>1382</v>
      </c>
      <c r="C507" s="5" t="s">
        <v>57</v>
      </c>
      <c r="D507" s="5" t="s">
        <v>58</v>
      </c>
      <c r="E507" s="5" t="s">
        <v>709</v>
      </c>
      <c r="F507" s="9">
        <v>82</v>
      </c>
      <c r="G507" s="9">
        <v>902</v>
      </c>
      <c r="H507" s="5" t="s">
        <v>20</v>
      </c>
      <c r="I507" s="5" t="s">
        <v>1388</v>
      </c>
      <c r="J507" s="12" t="str">
        <f>HYPERLINK("https://www.boe.es/gazeta/dias/1804/10/12/pdfs/GMD-1804-82.pdf#page=4","Abrir facsímil")</f>
        <v>Abrir facsímil</v>
      </c>
      <c r="K507" s="15" t="s">
        <v>22</v>
      </c>
    </row>
    <row r="508" spans="1:11" ht="42" customHeight="1">
      <c r="A508" s="4" t="s">
        <v>1389</v>
      </c>
      <c r="B508" s="5" t="s">
        <v>1390</v>
      </c>
      <c r="C508" s="5" t="s">
        <v>85</v>
      </c>
      <c r="D508" s="5" t="s">
        <v>86</v>
      </c>
      <c r="E508" s="5" t="s">
        <v>87</v>
      </c>
      <c r="F508" s="9">
        <v>9</v>
      </c>
      <c r="G508" s="9">
        <v>99</v>
      </c>
      <c r="H508" s="5" t="s">
        <v>20</v>
      </c>
      <c r="I508" s="5" t="s">
        <v>1391</v>
      </c>
      <c r="J508" s="12" t="str">
        <f>HYPERLINK("https://www.boe.es/gazeta/dias/1804/01/31/pdfs/GMD-1804-9.pdf#page=11","Abrir facsímil")</f>
        <v>Abrir facsímil</v>
      </c>
      <c r="K508" s="15" t="s">
        <v>22</v>
      </c>
    </row>
    <row r="509" spans="1:11" ht="42" customHeight="1">
      <c r="A509" s="4" t="s">
        <v>1392</v>
      </c>
      <c r="B509" s="5" t="s">
        <v>1393</v>
      </c>
      <c r="C509" s="5" t="s">
        <v>27</v>
      </c>
      <c r="D509" s="5" t="s">
        <v>28</v>
      </c>
      <c r="E509" s="5" t="s">
        <v>245</v>
      </c>
      <c r="F509" s="9">
        <v>6</v>
      </c>
      <c r="G509" s="9">
        <v>55</v>
      </c>
      <c r="H509" s="5" t="s">
        <v>20</v>
      </c>
      <c r="I509" s="5" t="s">
        <v>1394</v>
      </c>
      <c r="J509" s="12" t="str">
        <f>HYPERLINK("https://www.boe.es/gazeta/dias/1804/01/20/pdfs/GMD-1804-6.pdf#page=7","Abrir facsímil")</f>
        <v>Abrir facsímil</v>
      </c>
      <c r="K509" s="15" t="s">
        <v>22</v>
      </c>
    </row>
    <row r="510" spans="1:11" ht="42" customHeight="1">
      <c r="A510" s="4" t="s">
        <v>1395</v>
      </c>
      <c r="B510" s="5" t="s">
        <v>1396</v>
      </c>
      <c r="C510" s="5" t="s">
        <v>85</v>
      </c>
      <c r="D510" s="5" t="s">
        <v>86</v>
      </c>
      <c r="E510" s="5" t="s">
        <v>245</v>
      </c>
      <c r="F510" s="9">
        <v>6</v>
      </c>
      <c r="G510" s="9">
        <v>60</v>
      </c>
      <c r="H510" s="5" t="s">
        <v>20</v>
      </c>
      <c r="I510" s="5" t="s">
        <v>1397</v>
      </c>
      <c r="J510" s="12" t="str">
        <f>HYPERLINK("https://www.boe.es/gazeta/dias/1804/01/20/pdfs/GMD-1804-6.pdf#page=12","Abrir facsímil")</f>
        <v>Abrir facsímil</v>
      </c>
      <c r="K510" s="15" t="s">
        <v>22</v>
      </c>
    </row>
    <row r="511" spans="1:11" ht="42" customHeight="1">
      <c r="A511" s="4" t="s">
        <v>1395</v>
      </c>
      <c r="B511" s="5" t="s">
        <v>1396</v>
      </c>
      <c r="C511" s="5" t="s">
        <v>85</v>
      </c>
      <c r="D511" s="5" t="s">
        <v>86</v>
      </c>
      <c r="E511" s="5" t="s">
        <v>388</v>
      </c>
      <c r="F511" s="9">
        <v>18</v>
      </c>
      <c r="G511" s="9">
        <v>200</v>
      </c>
      <c r="H511" s="5" t="s">
        <v>20</v>
      </c>
      <c r="I511" s="5" t="s">
        <v>1398</v>
      </c>
      <c r="J511" s="12" t="str">
        <f>HYPERLINK("https://www.boe.es/gazeta/dias/1804/03/02/pdfs/GMD-1804-18.pdf#page=12","Abrir facsímil")</f>
        <v>Abrir facsímil</v>
      </c>
      <c r="K511" s="15" t="s">
        <v>22</v>
      </c>
    </row>
    <row r="512" spans="1:11" ht="42" customHeight="1">
      <c r="A512" s="4" t="s">
        <v>1399</v>
      </c>
      <c r="B512" s="5" t="s">
        <v>1400</v>
      </c>
      <c r="C512" s="5" t="s">
        <v>85</v>
      </c>
      <c r="D512" s="5" t="s">
        <v>86</v>
      </c>
      <c r="E512" s="5" t="s">
        <v>367</v>
      </c>
      <c r="F512" s="9">
        <v>64</v>
      </c>
      <c r="G512" s="9">
        <v>718</v>
      </c>
      <c r="H512" s="5" t="s">
        <v>20</v>
      </c>
      <c r="I512" s="5" t="s">
        <v>1401</v>
      </c>
      <c r="J512" s="12" t="str">
        <f>HYPERLINK("https://www.boe.es/gazeta/dias/1804/08/10/pdfs/GMD-1804-64.pdf#page=12","Abrir facsímil")</f>
        <v>Abrir facsímil</v>
      </c>
      <c r="K512" s="15" t="s">
        <v>22</v>
      </c>
    </row>
    <row r="513" spans="1:11" ht="42" customHeight="1">
      <c r="A513" s="4" t="s">
        <v>1402</v>
      </c>
      <c r="B513" s="5" t="s">
        <v>1402</v>
      </c>
      <c r="C513" s="5" t="s">
        <v>17</v>
      </c>
      <c r="D513" s="5" t="s">
        <v>18</v>
      </c>
      <c r="E513" s="5" t="s">
        <v>37</v>
      </c>
      <c r="F513" s="9">
        <v>29</v>
      </c>
      <c r="G513" s="9">
        <v>318</v>
      </c>
      <c r="H513" s="5" t="s">
        <v>20</v>
      </c>
      <c r="I513" s="5" t="s">
        <v>1403</v>
      </c>
      <c r="J513" s="12" t="str">
        <f>HYPERLINK("https://www.boe.es/gazeta/dias/1804/04/10/pdfs/GMD-1804-29.pdf#page=8","Abrir facsímil")</f>
        <v>Abrir facsímil</v>
      </c>
      <c r="K513" s="15" t="s">
        <v>22</v>
      </c>
    </row>
    <row r="514" spans="1:11" ht="42" customHeight="1">
      <c r="A514" s="4" t="s">
        <v>1404</v>
      </c>
      <c r="B514" s="5" t="s">
        <v>1405</v>
      </c>
      <c r="C514" s="5" t="s">
        <v>27</v>
      </c>
      <c r="D514" s="5" t="s">
        <v>28</v>
      </c>
      <c r="E514" s="5" t="s">
        <v>155</v>
      </c>
      <c r="F514" s="9">
        <v>92</v>
      </c>
      <c r="G514" s="9">
        <v>1020</v>
      </c>
      <c r="H514" s="5" t="s">
        <v>20</v>
      </c>
      <c r="I514" s="5" t="s">
        <v>1406</v>
      </c>
      <c r="J514" s="12" t="str">
        <f>HYPERLINK("https://www.boe.es/gazeta/dias/1804/11/16/pdfs/GMD-1804-92.pdf#page=8","Abrir facsímil")</f>
        <v>Abrir facsímil</v>
      </c>
      <c r="K514" s="15" t="s">
        <v>22</v>
      </c>
    </row>
    <row r="515" spans="1:11" ht="42" customHeight="1">
      <c r="A515" s="4" t="s">
        <v>1407</v>
      </c>
      <c r="B515" s="5" t="s">
        <v>1408</v>
      </c>
      <c r="C515" s="5" t="s">
        <v>27</v>
      </c>
      <c r="D515" s="5" t="s">
        <v>28</v>
      </c>
      <c r="E515" s="5" t="s">
        <v>466</v>
      </c>
      <c r="F515" s="9">
        <v>76</v>
      </c>
      <c r="G515" s="9">
        <v>847</v>
      </c>
      <c r="H515" s="5" t="s">
        <v>20</v>
      </c>
      <c r="I515" s="5" t="s">
        <v>1409</v>
      </c>
      <c r="J515" s="12" t="str">
        <f>HYPERLINK("https://www.boe.es/gazeta/dias/1804/09/21/pdfs/GMD-1804-76.pdf#page=5","Abrir facsímil")</f>
        <v>Abrir facsímil</v>
      </c>
      <c r="K515" s="15" t="s">
        <v>22</v>
      </c>
    </row>
    <row r="516" spans="1:11" ht="42" customHeight="1">
      <c r="A516" s="4" t="s">
        <v>1410</v>
      </c>
      <c r="B516" s="5" t="s">
        <v>1411</v>
      </c>
      <c r="C516" s="5" t="s">
        <v>27</v>
      </c>
      <c r="D516" s="5" t="s">
        <v>28</v>
      </c>
      <c r="E516" s="5" t="s">
        <v>147</v>
      </c>
      <c r="F516" s="9">
        <v>77</v>
      </c>
      <c r="G516" s="9">
        <v>859</v>
      </c>
      <c r="H516" s="5" t="s">
        <v>20</v>
      </c>
      <c r="I516" s="5" t="s">
        <v>1412</v>
      </c>
      <c r="J516" s="12" t="str">
        <f>HYPERLINK("https://www.boe.es/gazeta/dias/1804/09/25/pdfs/GMD-1804-77.pdf#page=9","Abrir facsímil")</f>
        <v>Abrir facsímil</v>
      </c>
      <c r="K516" s="15" t="s">
        <v>22</v>
      </c>
    </row>
    <row r="517" spans="1:11" ht="42" customHeight="1">
      <c r="A517" s="4" t="s">
        <v>1413</v>
      </c>
      <c r="B517" s="5" t="s">
        <v>1414</v>
      </c>
      <c r="C517" s="5" t="s">
        <v>27</v>
      </c>
      <c r="D517" s="5" t="s">
        <v>28</v>
      </c>
      <c r="E517" s="5" t="s">
        <v>199</v>
      </c>
      <c r="F517" s="9">
        <v>46</v>
      </c>
      <c r="G517" s="9">
        <v>512</v>
      </c>
      <c r="H517" s="5" t="s">
        <v>20</v>
      </c>
      <c r="I517" s="5" t="s">
        <v>1415</v>
      </c>
      <c r="J517" s="12" t="str">
        <f>HYPERLINK("https://www.boe.es/gazeta/dias/1804/06/08/pdfs/GMD-1804-46.pdf#page=10","Abrir facsímil")</f>
        <v>Abrir facsímil</v>
      </c>
      <c r="K517" s="15" t="s">
        <v>22</v>
      </c>
    </row>
    <row r="518" spans="1:11" ht="42" customHeight="1">
      <c r="A518" s="4" t="s">
        <v>1416</v>
      </c>
      <c r="B518" s="5" t="s">
        <v>1417</v>
      </c>
      <c r="C518" s="5" t="s">
        <v>17</v>
      </c>
      <c r="D518" s="5" t="s">
        <v>18</v>
      </c>
      <c r="E518" s="5" t="s">
        <v>709</v>
      </c>
      <c r="F518" s="9">
        <v>82</v>
      </c>
      <c r="G518" s="9">
        <v>906</v>
      </c>
      <c r="H518" s="5" t="s">
        <v>20</v>
      </c>
      <c r="I518" s="5" t="s">
        <v>1418</v>
      </c>
      <c r="J518" s="12" t="str">
        <f>HYPERLINK("https://www.boe.es/gazeta/dias/1804/10/12/pdfs/GMD-1804-82.pdf#page=8","Abrir facsímil")</f>
        <v>Abrir facsímil</v>
      </c>
      <c r="K518" s="15" t="s">
        <v>22</v>
      </c>
    </row>
    <row r="519" spans="1:11" ht="42" customHeight="1">
      <c r="A519" s="4" t="s">
        <v>1419</v>
      </c>
      <c r="B519" s="5" t="s">
        <v>1420</v>
      </c>
      <c r="C519" s="5" t="s">
        <v>27</v>
      </c>
      <c r="D519" s="5" t="s">
        <v>28</v>
      </c>
      <c r="E519" s="5" t="s">
        <v>54</v>
      </c>
      <c r="F519" s="9">
        <v>63</v>
      </c>
      <c r="G519" s="9">
        <v>700</v>
      </c>
      <c r="H519" s="5" t="s">
        <v>20</v>
      </c>
      <c r="I519" s="5" t="s">
        <v>1421</v>
      </c>
      <c r="J519" s="12" t="str">
        <f>HYPERLINK("https://www.boe.es/gazeta/dias/1804/08/07/pdfs/GMD-1804-63.pdf#page=10","Abrir facsímil")</f>
        <v>Abrir facsímil</v>
      </c>
      <c r="K519" s="15" t="s">
        <v>22</v>
      </c>
    </row>
    <row r="520" spans="1:11" ht="42" customHeight="1">
      <c r="A520" s="4" t="s">
        <v>1422</v>
      </c>
      <c r="B520" s="5" t="s">
        <v>1423</v>
      </c>
      <c r="C520" s="5" t="s">
        <v>17</v>
      </c>
      <c r="D520" s="5" t="s">
        <v>18</v>
      </c>
      <c r="E520" s="5" t="s">
        <v>623</v>
      </c>
      <c r="F520" s="9">
        <v>51</v>
      </c>
      <c r="G520" s="9">
        <v>561</v>
      </c>
      <c r="H520" s="5" t="s">
        <v>20</v>
      </c>
      <c r="I520" s="5" t="s">
        <v>1424</v>
      </c>
      <c r="J520" s="12" t="str">
        <f>HYPERLINK("https://www.boe.es/gazeta/dias/1804/06/26/pdfs/GMD-1804-51.pdf#page=7","Abrir facsímil")</f>
        <v>Abrir facsímil</v>
      </c>
      <c r="K520" s="15" t="s">
        <v>22</v>
      </c>
    </row>
    <row r="521" spans="1:11" ht="42" customHeight="1">
      <c r="A521" s="4" t="s">
        <v>1425</v>
      </c>
      <c r="B521" s="5" t="s">
        <v>1426</v>
      </c>
      <c r="C521" s="5" t="s">
        <v>27</v>
      </c>
      <c r="D521" s="5" t="s">
        <v>28</v>
      </c>
      <c r="E521" s="5" t="s">
        <v>360</v>
      </c>
      <c r="F521" s="9">
        <v>81</v>
      </c>
      <c r="G521" s="9">
        <v>891</v>
      </c>
      <c r="H521" s="5" t="s">
        <v>20</v>
      </c>
      <c r="I521" s="5" t="s">
        <v>1427</v>
      </c>
      <c r="J521" s="12" t="str">
        <f>HYPERLINK("https://www.boe.es/gazeta/dias/1804/10/09/pdfs/GMD-1804-81.pdf#page=1","Abrir facsímil")</f>
        <v>Abrir facsímil</v>
      </c>
      <c r="K521" s="15" t="s">
        <v>22</v>
      </c>
    </row>
    <row r="522" spans="1:11" ht="42" customHeight="1">
      <c r="A522" s="4" t="s">
        <v>1428</v>
      </c>
      <c r="B522" s="5" t="s">
        <v>1428</v>
      </c>
      <c r="C522" s="5" t="s">
        <v>27</v>
      </c>
      <c r="D522" s="5" t="s">
        <v>28</v>
      </c>
      <c r="E522" s="5" t="s">
        <v>81</v>
      </c>
      <c r="F522" s="9">
        <v>98</v>
      </c>
      <c r="G522" s="9">
        <v>1087</v>
      </c>
      <c r="H522" s="5" t="s">
        <v>20</v>
      </c>
      <c r="I522" s="5" t="s">
        <v>1429</v>
      </c>
      <c r="J522" s="12" t="str">
        <f>HYPERLINK("https://www.boe.es/gazeta/dias/1804/12/07/pdfs/GMD-1804-98.pdf#page=3","Abrir facsímil")</f>
        <v>Abrir facsímil</v>
      </c>
      <c r="K522" s="15" t="s">
        <v>22</v>
      </c>
    </row>
    <row r="523" spans="1:11" ht="42" customHeight="1">
      <c r="A523" s="4" t="s">
        <v>1430</v>
      </c>
      <c r="B523" s="5" t="s">
        <v>1431</v>
      </c>
      <c r="C523" s="5" t="s">
        <v>57</v>
      </c>
      <c r="D523" s="5" t="s">
        <v>58</v>
      </c>
      <c r="E523" s="5" t="s">
        <v>678</v>
      </c>
      <c r="F523" s="9">
        <v>104</v>
      </c>
      <c r="G523" s="9">
        <v>1153</v>
      </c>
      <c r="H523" s="5" t="s">
        <v>20</v>
      </c>
      <c r="I523" s="5" t="s">
        <v>1432</v>
      </c>
      <c r="J523" s="12" t="str">
        <f>HYPERLINK("https://www.boe.es/gazeta/dias/1804/12/28/pdfs/GMD-1804-104.pdf#page=1","Abrir facsímil")</f>
        <v>Abrir facsímil</v>
      </c>
      <c r="K523" s="15" t="s">
        <v>22</v>
      </c>
    </row>
    <row r="524" spans="1:11" ht="42" customHeight="1">
      <c r="A524" s="4" t="s">
        <v>1433</v>
      </c>
      <c r="B524" s="5" t="s">
        <v>1434</v>
      </c>
      <c r="C524" s="5" t="s">
        <v>120</v>
      </c>
      <c r="D524" s="5" t="s">
        <v>121</v>
      </c>
      <c r="E524" s="5" t="s">
        <v>33</v>
      </c>
      <c r="F524" s="9">
        <v>48</v>
      </c>
      <c r="G524" s="9" t="s">
        <v>122</v>
      </c>
      <c r="H524" s="5" t="s">
        <v>20</v>
      </c>
      <c r="I524" s="5" t="s">
        <v>1435</v>
      </c>
      <c r="J524" s="12" t="str">
        <f>HYPERLINK("https://www.boe.es/gazeta/dias/1804/06/15/pdfs/GMD-C-1804-48.pdf#page=3","Abrir facsímil")</f>
        <v>Abrir facsímil</v>
      </c>
      <c r="K524" s="15" t="s">
        <v>22</v>
      </c>
    </row>
    <row r="525" spans="1:11" ht="42" customHeight="1">
      <c r="A525" s="4" t="s">
        <v>1436</v>
      </c>
      <c r="B525" s="5" t="s">
        <v>1437</v>
      </c>
      <c r="C525" s="5" t="s">
        <v>65</v>
      </c>
      <c r="D525" s="5" t="s">
        <v>66</v>
      </c>
      <c r="E525" s="5" t="s">
        <v>320</v>
      </c>
      <c r="F525" s="9">
        <v>31</v>
      </c>
      <c r="G525" s="9">
        <v>343</v>
      </c>
      <c r="H525" s="5" t="s">
        <v>20</v>
      </c>
      <c r="I525" s="5" t="s">
        <v>1438</v>
      </c>
      <c r="J525" s="12" t="str">
        <f>HYPERLINK("https://www.boe.es/gazeta/dias/1804/04/17/pdfs/GMD-1804-31.pdf#page=9","Abrir facsímil")</f>
        <v>Abrir facsímil</v>
      </c>
      <c r="K525" s="15" t="s">
        <v>22</v>
      </c>
    </row>
    <row r="526" spans="1:11" ht="42" customHeight="1">
      <c r="A526" s="4" t="s">
        <v>1439</v>
      </c>
      <c r="B526" s="5" t="s">
        <v>1440</v>
      </c>
      <c r="C526" s="5" t="s">
        <v>27</v>
      </c>
      <c r="D526" s="5" t="s">
        <v>28</v>
      </c>
      <c r="E526" s="5" t="s">
        <v>490</v>
      </c>
      <c r="F526" s="9">
        <v>100</v>
      </c>
      <c r="G526" s="9">
        <v>1119</v>
      </c>
      <c r="H526" s="5" t="s">
        <v>20</v>
      </c>
      <c r="I526" s="5" t="s">
        <v>1441</v>
      </c>
      <c r="J526" s="12" t="str">
        <f>HYPERLINK("https://www.boe.es/gazeta/dias/1804/12/14/pdfs/GMD-1804-100.pdf#page=11","Abrir facsímil")</f>
        <v>Abrir facsímil</v>
      </c>
      <c r="K526" s="15" t="s">
        <v>22</v>
      </c>
    </row>
    <row r="527" spans="1:11" ht="42" customHeight="1">
      <c r="A527" s="4" t="s">
        <v>1442</v>
      </c>
      <c r="B527" s="5" t="s">
        <v>1442</v>
      </c>
      <c r="C527" s="5" t="s">
        <v>57</v>
      </c>
      <c r="D527" s="5" t="s">
        <v>58</v>
      </c>
      <c r="E527" s="5" t="s">
        <v>736</v>
      </c>
      <c r="F527" s="9">
        <v>83</v>
      </c>
      <c r="G527" s="9">
        <v>914</v>
      </c>
      <c r="H527" s="5" t="s">
        <v>20</v>
      </c>
      <c r="I527" s="5" t="s">
        <v>1443</v>
      </c>
      <c r="J527" s="12" t="str">
        <f>HYPERLINK("https://www.boe.es/gazeta/dias/1804/10/16/pdfs/GMD-1804-83.pdf#page=4","Abrir facsímil")</f>
        <v>Abrir facsímil</v>
      </c>
      <c r="K527" s="15" t="s">
        <v>22</v>
      </c>
    </row>
    <row r="528" spans="1:11" ht="42" customHeight="1">
      <c r="A528" s="4" t="s">
        <v>1444</v>
      </c>
      <c r="B528" s="5" t="s">
        <v>1445</v>
      </c>
      <c r="C528" s="5" t="s">
        <v>57</v>
      </c>
      <c r="D528" s="5" t="s">
        <v>58</v>
      </c>
      <c r="E528" s="5" t="s">
        <v>427</v>
      </c>
      <c r="F528" s="9">
        <v>80</v>
      </c>
      <c r="G528" s="9">
        <v>886</v>
      </c>
      <c r="H528" s="5" t="s">
        <v>20</v>
      </c>
      <c r="I528" s="5" t="s">
        <v>1446</v>
      </c>
      <c r="J528" s="12" t="str">
        <f>HYPERLINK("https://www.boe.es/gazeta/dias/1804/10/05/pdfs/GMD-1804-80.pdf#page=4","Abrir facsímil")</f>
        <v>Abrir facsímil</v>
      </c>
      <c r="K528" s="15" t="s">
        <v>22</v>
      </c>
    </row>
    <row r="529" spans="1:11" ht="42" customHeight="1">
      <c r="A529" s="4" t="s">
        <v>1444</v>
      </c>
      <c r="B529" s="5" t="s">
        <v>1445</v>
      </c>
      <c r="C529" s="5" t="s">
        <v>17</v>
      </c>
      <c r="D529" s="5" t="s">
        <v>18</v>
      </c>
      <c r="E529" s="5" t="s">
        <v>43</v>
      </c>
      <c r="F529" s="9">
        <v>84</v>
      </c>
      <c r="G529" s="9">
        <v>928</v>
      </c>
      <c r="H529" s="5" t="s">
        <v>20</v>
      </c>
      <c r="I529" s="5" t="s">
        <v>1447</v>
      </c>
      <c r="J529" s="12" t="str">
        <f>HYPERLINK("https://www.boe.es/gazeta/dias/1804/10/19/pdfs/GMD-1804-84.pdf#page=6","Abrir facsímil")</f>
        <v>Abrir facsímil</v>
      </c>
      <c r="K529" s="15" t="s">
        <v>22</v>
      </c>
    </row>
    <row r="530" spans="1:11" ht="42" customHeight="1">
      <c r="A530" s="4" t="s">
        <v>1448</v>
      </c>
      <c r="B530" s="5" t="s">
        <v>1448</v>
      </c>
      <c r="C530" s="5" t="s">
        <v>57</v>
      </c>
      <c r="D530" s="5" t="s">
        <v>58</v>
      </c>
      <c r="E530" s="5" t="s">
        <v>1449</v>
      </c>
      <c r="F530" s="9">
        <v>8</v>
      </c>
      <c r="G530" s="9">
        <v>82</v>
      </c>
      <c r="H530" s="5" t="s">
        <v>20</v>
      </c>
      <c r="I530" s="5" t="s">
        <v>1450</v>
      </c>
      <c r="J530" s="12" t="str">
        <f>HYPERLINK("https://www.boe.es/gazeta/dias/1804/01/27/pdfs/GMD-1804-8.pdf#page=6","Abrir facsímil")</f>
        <v>Abrir facsímil</v>
      </c>
      <c r="K530" s="15" t="s">
        <v>22</v>
      </c>
    </row>
    <row r="531" spans="1:11" ht="42" customHeight="1">
      <c r="A531" s="4" t="s">
        <v>1451</v>
      </c>
      <c r="B531" s="5" t="s">
        <v>1452</v>
      </c>
      <c r="C531" s="5" t="s">
        <v>17</v>
      </c>
      <c r="D531" s="5" t="s">
        <v>18</v>
      </c>
      <c r="E531" s="5" t="s">
        <v>1179</v>
      </c>
      <c r="F531" s="9">
        <v>43</v>
      </c>
      <c r="G531" s="9">
        <v>480</v>
      </c>
      <c r="H531" s="5" t="s">
        <v>20</v>
      </c>
      <c r="I531" s="5" t="s">
        <v>1453</v>
      </c>
      <c r="J531" s="12" t="str">
        <f>HYPERLINK("https://www.boe.es/gazeta/dias/1804/05/29/pdfs/GMD-1804-43.pdf#page=6","Abrir facsímil")</f>
        <v>Abrir facsímil</v>
      </c>
      <c r="K531" s="15" t="s">
        <v>22</v>
      </c>
    </row>
    <row r="532" spans="1:11" ht="42" customHeight="1">
      <c r="A532" s="4" t="s">
        <v>1454</v>
      </c>
      <c r="B532" s="5" t="s">
        <v>1455</v>
      </c>
      <c r="C532" s="5" t="s">
        <v>17</v>
      </c>
      <c r="D532" s="5" t="s">
        <v>18</v>
      </c>
      <c r="E532" s="5" t="s">
        <v>71</v>
      </c>
      <c r="F532" s="9">
        <v>99</v>
      </c>
      <c r="G532" s="9">
        <v>1107</v>
      </c>
      <c r="H532" s="5" t="s">
        <v>20</v>
      </c>
      <c r="I532" s="5" t="s">
        <v>1456</v>
      </c>
      <c r="J532" s="12" t="str">
        <f>HYPERLINK("https://www.boe.es/gazeta/dias/1804/12/11/pdfs/GMD-1804-99.pdf#page=7","Abrir facsímil")</f>
        <v>Abrir facsímil</v>
      </c>
      <c r="K532" s="15" t="s">
        <v>22</v>
      </c>
    </row>
    <row r="533" spans="1:11" ht="42" customHeight="1">
      <c r="A533" s="4" t="s">
        <v>1457</v>
      </c>
      <c r="B533" s="5" t="s">
        <v>1458</v>
      </c>
      <c r="C533" s="5" t="s">
        <v>27</v>
      </c>
      <c r="D533" s="5" t="s">
        <v>28</v>
      </c>
      <c r="E533" s="5" t="s">
        <v>212</v>
      </c>
      <c r="F533" s="9">
        <v>89</v>
      </c>
      <c r="G533" s="9">
        <v>990</v>
      </c>
      <c r="H533" s="5" t="s">
        <v>20</v>
      </c>
      <c r="I533" s="5" t="s">
        <v>1459</v>
      </c>
      <c r="J533" s="12" t="str">
        <f>HYPERLINK("https://www.boe.es/gazeta/dias/1804/11/06/pdfs/GMD-1804-89.pdf#page=10","Abrir facsímil")</f>
        <v>Abrir facsímil</v>
      </c>
      <c r="K533" s="15" t="s">
        <v>22</v>
      </c>
    </row>
    <row r="534" spans="1:11" ht="42" customHeight="1">
      <c r="A534" s="4" t="s">
        <v>1457</v>
      </c>
      <c r="B534" s="5" t="s">
        <v>1458</v>
      </c>
      <c r="C534" s="5" t="s">
        <v>27</v>
      </c>
      <c r="D534" s="5" t="s">
        <v>28</v>
      </c>
      <c r="E534" s="5" t="s">
        <v>339</v>
      </c>
      <c r="F534" s="9">
        <v>94</v>
      </c>
      <c r="G534" s="9">
        <v>1038</v>
      </c>
      <c r="H534" s="5" t="s">
        <v>20</v>
      </c>
      <c r="I534" s="5" t="s">
        <v>1460</v>
      </c>
      <c r="J534" s="12" t="str">
        <f>HYPERLINK("https://www.boe.es/gazeta/dias/1804/11/23/pdfs/GMD-1804-94.pdf#page=6","Abrir facsímil")</f>
        <v>Abrir facsímil</v>
      </c>
      <c r="K534" s="15" t="s">
        <v>22</v>
      </c>
    </row>
    <row r="535" spans="1:11" ht="42" customHeight="1">
      <c r="A535" s="4" t="s">
        <v>1461</v>
      </c>
      <c r="B535" s="5" t="s">
        <v>1462</v>
      </c>
      <c r="C535" s="5" t="s">
        <v>57</v>
      </c>
      <c r="D535" s="5" t="s">
        <v>58</v>
      </c>
      <c r="E535" s="5" t="s">
        <v>23</v>
      </c>
      <c r="F535" s="9">
        <v>91</v>
      </c>
      <c r="G535" s="9">
        <v>1005</v>
      </c>
      <c r="H535" s="5" t="s">
        <v>20</v>
      </c>
      <c r="I535" s="5" t="s">
        <v>1463</v>
      </c>
      <c r="J535" s="12" t="str">
        <f>HYPERLINK("https://www.boe.es/gazeta/dias/1804/11/13/pdfs/GMD-1804-91.pdf#page=5","Abrir facsímil")</f>
        <v>Abrir facsímil</v>
      </c>
      <c r="K535" s="15" t="s">
        <v>22</v>
      </c>
    </row>
    <row r="536" spans="1:11" ht="42" customHeight="1">
      <c r="A536" s="4" t="s">
        <v>1464</v>
      </c>
      <c r="B536" s="5" t="s">
        <v>1465</v>
      </c>
      <c r="C536" s="5" t="s">
        <v>57</v>
      </c>
      <c r="D536" s="5" t="s">
        <v>58</v>
      </c>
      <c r="E536" s="5" t="s">
        <v>427</v>
      </c>
      <c r="F536" s="9">
        <v>80</v>
      </c>
      <c r="G536" s="9">
        <v>886</v>
      </c>
      <c r="H536" s="5" t="s">
        <v>20</v>
      </c>
      <c r="I536" s="5" t="s">
        <v>1466</v>
      </c>
      <c r="J536" s="12" t="str">
        <f>HYPERLINK("https://www.boe.es/gazeta/dias/1804/10/05/pdfs/GMD-1804-80.pdf#page=4","Abrir facsímil")</f>
        <v>Abrir facsímil</v>
      </c>
      <c r="K536" s="15" t="s">
        <v>22</v>
      </c>
    </row>
    <row r="537" spans="1:11" ht="42" customHeight="1">
      <c r="A537" s="4" t="s">
        <v>1467</v>
      </c>
      <c r="B537" s="5" t="s">
        <v>1468</v>
      </c>
      <c r="C537" s="5" t="s">
        <v>57</v>
      </c>
      <c r="D537" s="5" t="s">
        <v>58</v>
      </c>
      <c r="E537" s="5" t="s">
        <v>497</v>
      </c>
      <c r="F537" s="9">
        <v>25</v>
      </c>
      <c r="G537" s="9">
        <v>279</v>
      </c>
      <c r="H537" s="5" t="s">
        <v>20</v>
      </c>
      <c r="I537" s="5" t="s">
        <v>1469</v>
      </c>
      <c r="J537" s="12" t="str">
        <f>HYPERLINK("https://www.boe.es/gazeta/dias/1804/03/27/pdfs/GMD-1804-25.pdf#page=1","Abrir facsímil")</f>
        <v>Abrir facsímil</v>
      </c>
      <c r="K537" s="15" t="s">
        <v>22</v>
      </c>
    </row>
    <row r="538" spans="1:11" ht="42" customHeight="1">
      <c r="A538" s="4" t="s">
        <v>1470</v>
      </c>
      <c r="B538" s="5" t="s">
        <v>1471</v>
      </c>
      <c r="C538" s="5" t="s">
        <v>27</v>
      </c>
      <c r="D538" s="5" t="s">
        <v>28</v>
      </c>
      <c r="E538" s="5" t="s">
        <v>453</v>
      </c>
      <c r="F538" s="9">
        <v>33</v>
      </c>
      <c r="G538" s="9">
        <v>366</v>
      </c>
      <c r="H538" s="5" t="s">
        <v>20</v>
      </c>
      <c r="I538" s="5" t="s">
        <v>1472</v>
      </c>
      <c r="J538" s="12" t="str">
        <f>HYPERLINK("https://www.boe.es/gazeta/dias/1804/04/24/pdfs/GMD-1804-33.pdf#page=8","Abrir facsímil")</f>
        <v>Abrir facsímil</v>
      </c>
      <c r="K538" s="15" t="s">
        <v>22</v>
      </c>
    </row>
    <row r="539" spans="1:11" ht="42" customHeight="1">
      <c r="A539" s="4" t="s">
        <v>1473</v>
      </c>
      <c r="B539" s="5" t="s">
        <v>1473</v>
      </c>
      <c r="C539" s="5" t="s">
        <v>17</v>
      </c>
      <c r="D539" s="5" t="s">
        <v>18</v>
      </c>
      <c r="E539" s="5" t="s">
        <v>50</v>
      </c>
      <c r="F539" s="9">
        <v>93</v>
      </c>
      <c r="G539" s="9">
        <v>1030</v>
      </c>
      <c r="H539" s="5" t="s">
        <v>20</v>
      </c>
      <c r="I539" s="5" t="s">
        <v>1474</v>
      </c>
      <c r="J539" s="12" t="str">
        <f>HYPERLINK("https://www.boe.es/gazeta/dias/1804/11/20/pdfs/GMD-1804-93.pdf#page=6","Abrir facsímil")</f>
        <v>Abrir facsímil</v>
      </c>
      <c r="K539" s="15" t="s">
        <v>22</v>
      </c>
    </row>
    <row r="540" spans="1:11" ht="42" customHeight="1">
      <c r="A540" s="4" t="s">
        <v>1475</v>
      </c>
      <c r="B540" s="5" t="s">
        <v>1476</v>
      </c>
      <c r="C540" s="5" t="s">
        <v>120</v>
      </c>
      <c r="D540" s="5" t="s">
        <v>121</v>
      </c>
      <c r="E540" s="5" t="s">
        <v>33</v>
      </c>
      <c r="F540" s="9">
        <v>48</v>
      </c>
      <c r="G540" s="9" t="s">
        <v>98</v>
      </c>
      <c r="H540" s="5" t="s">
        <v>20</v>
      </c>
      <c r="I540" s="5" t="s">
        <v>1477</v>
      </c>
      <c r="J540" s="12" t="str">
        <f>HYPERLINK("https://www.boe.es/gazeta/dias/1804/06/15/pdfs/GMD-C-1804-48.pdf#page=1","Abrir facsímil")</f>
        <v>Abrir facsímil</v>
      </c>
      <c r="K540" s="15" t="s">
        <v>22</v>
      </c>
    </row>
    <row r="541" spans="1:11" ht="42" customHeight="1">
      <c r="A541" s="4" t="s">
        <v>1478</v>
      </c>
      <c r="B541" s="5" t="s">
        <v>1479</v>
      </c>
      <c r="C541" s="5" t="s">
        <v>27</v>
      </c>
      <c r="D541" s="5" t="s">
        <v>28</v>
      </c>
      <c r="E541" s="5" t="s">
        <v>199</v>
      </c>
      <c r="F541" s="9">
        <v>46</v>
      </c>
      <c r="G541" s="9">
        <v>512</v>
      </c>
      <c r="H541" s="5" t="s">
        <v>20</v>
      </c>
      <c r="I541" s="5" t="s">
        <v>1480</v>
      </c>
      <c r="J541" s="12" t="str">
        <f>HYPERLINK("https://www.boe.es/gazeta/dias/1804/06/08/pdfs/GMD-1804-46.pdf#page=10","Abrir facsímil")</f>
        <v>Abrir facsímil</v>
      </c>
      <c r="K541" s="15" t="s">
        <v>22</v>
      </c>
    </row>
    <row r="542" spans="1:11" ht="42" customHeight="1">
      <c r="A542" s="4" t="s">
        <v>1481</v>
      </c>
      <c r="B542" s="5" t="s">
        <v>1482</v>
      </c>
      <c r="C542" s="5" t="s">
        <v>27</v>
      </c>
      <c r="D542" s="5" t="s">
        <v>28</v>
      </c>
      <c r="E542" s="5" t="s">
        <v>140</v>
      </c>
      <c r="F542" s="9">
        <v>39</v>
      </c>
      <c r="G542" s="9">
        <v>436</v>
      </c>
      <c r="H542" s="5" t="s">
        <v>20</v>
      </c>
      <c r="I542" s="5" t="s">
        <v>1483</v>
      </c>
      <c r="J542" s="12" t="str">
        <f>HYPERLINK("https://www.boe.es/gazeta/dias/1804/05/15/pdfs/GMD-1804-39.pdf#page=10","Abrir facsímil")</f>
        <v>Abrir facsímil</v>
      </c>
      <c r="K542" s="15" t="s">
        <v>22</v>
      </c>
    </row>
    <row r="543" spans="1:11" ht="42" customHeight="1">
      <c r="A543" s="4" t="s">
        <v>1484</v>
      </c>
      <c r="B543" s="5" t="s">
        <v>1485</v>
      </c>
      <c r="C543" s="5" t="s">
        <v>27</v>
      </c>
      <c r="D543" s="5" t="s">
        <v>28</v>
      </c>
      <c r="E543" s="5" t="s">
        <v>950</v>
      </c>
      <c r="F543" s="9">
        <v>90</v>
      </c>
      <c r="G543" s="9">
        <v>999</v>
      </c>
      <c r="H543" s="5" t="s">
        <v>20</v>
      </c>
      <c r="I543" s="5" t="s">
        <v>1486</v>
      </c>
      <c r="J543" s="12" t="str">
        <f>HYPERLINK("https://www.boe.es/gazeta/dias/1804/11/09/pdfs/GMD-1804-90.pdf#page=7","Abrir facsímil")</f>
        <v>Abrir facsímil</v>
      </c>
      <c r="K543" s="15" t="s">
        <v>22</v>
      </c>
    </row>
    <row r="544" spans="1:11" ht="42" customHeight="1">
      <c r="A544" s="4" t="s">
        <v>1487</v>
      </c>
      <c r="B544" s="5" t="s">
        <v>1488</v>
      </c>
      <c r="C544" s="5" t="s">
        <v>27</v>
      </c>
      <c r="D544" s="5" t="s">
        <v>28</v>
      </c>
      <c r="E544" s="5" t="s">
        <v>332</v>
      </c>
      <c r="F544" s="9">
        <v>66</v>
      </c>
      <c r="G544" s="9">
        <v>740</v>
      </c>
      <c r="H544" s="5" t="s">
        <v>20</v>
      </c>
      <c r="I544" s="5" t="s">
        <v>1489</v>
      </c>
      <c r="J544" s="12" t="str">
        <f>HYPERLINK("https://www.boe.es/gazeta/dias/1804/08/17/pdfs/GMD-1804-66.pdf#page=6","Abrir facsímil")</f>
        <v>Abrir facsímil</v>
      </c>
      <c r="K544" s="15" t="s">
        <v>22</v>
      </c>
    </row>
    <row r="545" spans="1:11" ht="42" customHeight="1">
      <c r="A545" s="4" t="s">
        <v>1490</v>
      </c>
      <c r="B545" s="5" t="s">
        <v>1491</v>
      </c>
      <c r="C545" s="5" t="s">
        <v>27</v>
      </c>
      <c r="D545" s="5" t="s">
        <v>28</v>
      </c>
      <c r="E545" s="5" t="s">
        <v>367</v>
      </c>
      <c r="F545" s="9">
        <v>64</v>
      </c>
      <c r="G545" s="9">
        <v>714</v>
      </c>
      <c r="H545" s="5" t="s">
        <v>20</v>
      </c>
      <c r="I545" s="5" t="s">
        <v>1492</v>
      </c>
      <c r="J545" s="12" t="str">
        <f>HYPERLINK("https://www.boe.es/gazeta/dias/1804/08/10/pdfs/GMD-1804-64.pdf#page=8","Abrir facsímil")</f>
        <v>Abrir facsímil</v>
      </c>
      <c r="K545" s="15" t="s">
        <v>22</v>
      </c>
    </row>
    <row r="546" spans="1:11" ht="42" customHeight="1">
      <c r="A546" s="4" t="s">
        <v>1493</v>
      </c>
      <c r="B546" s="5" t="s">
        <v>1494</v>
      </c>
      <c r="C546" s="5" t="s">
        <v>27</v>
      </c>
      <c r="D546" s="5" t="s">
        <v>28</v>
      </c>
      <c r="E546" s="5" t="s">
        <v>736</v>
      </c>
      <c r="F546" s="9">
        <v>83</v>
      </c>
      <c r="G546" s="9">
        <v>919</v>
      </c>
      <c r="H546" s="5" t="s">
        <v>20</v>
      </c>
      <c r="I546" s="5" t="s">
        <v>1495</v>
      </c>
      <c r="J546" s="12" t="str">
        <f>HYPERLINK("https://www.boe.es/gazeta/dias/1804/10/16/pdfs/GMD-1804-83.pdf#page=9","Abrir facsímil")</f>
        <v>Abrir facsímil</v>
      </c>
      <c r="K546" s="15" t="s">
        <v>22</v>
      </c>
    </row>
    <row r="547" spans="1:11" ht="42" customHeight="1">
      <c r="A547" s="4" t="s">
        <v>1496</v>
      </c>
      <c r="B547" s="5" t="s">
        <v>1497</v>
      </c>
      <c r="C547" s="5" t="s">
        <v>27</v>
      </c>
      <c r="D547" s="5" t="s">
        <v>28</v>
      </c>
      <c r="E547" s="5" t="s">
        <v>97</v>
      </c>
      <c r="F547" s="9">
        <v>50</v>
      </c>
      <c r="G547" s="9">
        <v>553</v>
      </c>
      <c r="H547" s="5" t="s">
        <v>20</v>
      </c>
      <c r="I547" s="5" t="s">
        <v>1498</v>
      </c>
      <c r="J547" s="12" t="str">
        <f>HYPERLINK("https://www.boe.es/gazeta/dias/1804/06/22/pdfs/GMD-1804-50.pdf#page=7","Abrir facsímil")</f>
        <v>Abrir facsímil</v>
      </c>
      <c r="K547" s="15" t="s">
        <v>22</v>
      </c>
    </row>
    <row r="548" spans="1:11" ht="42" customHeight="1">
      <c r="A548" s="4" t="s">
        <v>1499</v>
      </c>
      <c r="B548" s="5" t="s">
        <v>1500</v>
      </c>
      <c r="C548" s="5" t="s">
        <v>27</v>
      </c>
      <c r="D548" s="5" t="s">
        <v>28</v>
      </c>
      <c r="E548" s="5" t="s">
        <v>199</v>
      </c>
      <c r="F548" s="9">
        <v>46</v>
      </c>
      <c r="G548" s="9">
        <v>512</v>
      </c>
      <c r="H548" s="5" t="s">
        <v>20</v>
      </c>
      <c r="I548" s="5" t="s">
        <v>1501</v>
      </c>
      <c r="J548" s="12" t="str">
        <f>HYPERLINK("https://www.boe.es/gazeta/dias/1804/06/08/pdfs/GMD-1804-46.pdf#page=10","Abrir facsímil")</f>
        <v>Abrir facsímil</v>
      </c>
      <c r="K548" s="15" t="s">
        <v>22</v>
      </c>
    </row>
    <row r="549" spans="1:11" ht="42" customHeight="1">
      <c r="A549" s="4" t="s">
        <v>1502</v>
      </c>
      <c r="B549" s="5" t="s">
        <v>1503</v>
      </c>
      <c r="C549" s="5" t="s">
        <v>27</v>
      </c>
      <c r="D549" s="5" t="s">
        <v>28</v>
      </c>
      <c r="E549" s="5" t="s">
        <v>191</v>
      </c>
      <c r="F549" s="9">
        <v>101</v>
      </c>
      <c r="G549" s="9">
        <v>1128</v>
      </c>
      <c r="H549" s="5" t="s">
        <v>20</v>
      </c>
      <c r="I549" s="5" t="s">
        <v>1504</v>
      </c>
      <c r="J549" s="12" t="str">
        <f>HYPERLINK("https://www.boe.es/gazeta/dias/1804/12/18/pdfs/GMD-1804-101.pdf#page=8","Abrir facsímil")</f>
        <v>Abrir facsímil</v>
      </c>
      <c r="K549" s="15" t="s">
        <v>22</v>
      </c>
    </row>
    <row r="550" spans="1:11" ht="42" customHeight="1">
      <c r="A550" s="4" t="s">
        <v>1505</v>
      </c>
      <c r="B550" s="5" t="s">
        <v>1506</v>
      </c>
      <c r="C550" s="5" t="s">
        <v>27</v>
      </c>
      <c r="D550" s="5" t="s">
        <v>28</v>
      </c>
      <c r="E550" s="5" t="s">
        <v>1179</v>
      </c>
      <c r="F550" s="9">
        <v>43</v>
      </c>
      <c r="G550" s="9">
        <v>480</v>
      </c>
      <c r="H550" s="5" t="s">
        <v>20</v>
      </c>
      <c r="I550" s="5" t="s">
        <v>1507</v>
      </c>
      <c r="J550" s="12" t="str">
        <f>HYPERLINK("https://www.boe.es/gazeta/dias/1804/05/29/pdfs/GMD-1804-43.pdf#page=6","Abrir facsímil")</f>
        <v>Abrir facsímil</v>
      </c>
      <c r="K550" s="15" t="s">
        <v>22</v>
      </c>
    </row>
    <row r="551" spans="1:11" ht="42" customHeight="1">
      <c r="A551" s="4" t="s">
        <v>1508</v>
      </c>
      <c r="B551" s="5" t="s">
        <v>1509</v>
      </c>
      <c r="C551" s="5" t="s">
        <v>27</v>
      </c>
      <c r="D551" s="5" t="s">
        <v>28</v>
      </c>
      <c r="E551" s="5" t="s">
        <v>490</v>
      </c>
      <c r="F551" s="9">
        <v>100</v>
      </c>
      <c r="G551" s="9">
        <v>1119</v>
      </c>
      <c r="H551" s="5" t="s">
        <v>20</v>
      </c>
      <c r="I551" s="5" t="s">
        <v>1510</v>
      </c>
      <c r="J551" s="12" t="str">
        <f>HYPERLINK("https://www.boe.es/gazeta/dias/1804/12/14/pdfs/GMD-1804-100.pdf#page=11","Abrir facsímil")</f>
        <v>Abrir facsímil</v>
      </c>
      <c r="K551" s="15" t="s">
        <v>22</v>
      </c>
    </row>
    <row r="552" spans="1:11" ht="42" customHeight="1">
      <c r="A552" s="4" t="s">
        <v>1511</v>
      </c>
      <c r="B552" s="5" t="s">
        <v>1512</v>
      </c>
      <c r="C552" s="5" t="s">
        <v>65</v>
      </c>
      <c r="D552" s="5" t="s">
        <v>66</v>
      </c>
      <c r="E552" s="5" t="s">
        <v>317</v>
      </c>
      <c r="F552" s="9">
        <v>56</v>
      </c>
      <c r="G552" s="9">
        <v>620</v>
      </c>
      <c r="H552" s="5" t="s">
        <v>20</v>
      </c>
      <c r="I552" s="5" t="s">
        <v>1513</v>
      </c>
      <c r="J552" s="12" t="str">
        <f>HYPERLINK("https://www.boe.es/gazeta/dias/1804/07/13/pdfs/GMD-1804-56.pdf#page=6","Abrir facsímil")</f>
        <v>Abrir facsímil</v>
      </c>
      <c r="K552" s="15" t="s">
        <v>22</v>
      </c>
    </row>
    <row r="553" spans="1:11" ht="42" customHeight="1">
      <c r="A553" s="4" t="s">
        <v>1514</v>
      </c>
      <c r="B553" s="5" t="s">
        <v>1514</v>
      </c>
      <c r="C553" s="5" t="s">
        <v>85</v>
      </c>
      <c r="D553" s="5" t="s">
        <v>86</v>
      </c>
      <c r="E553" s="5" t="s">
        <v>587</v>
      </c>
      <c r="F553" s="9">
        <v>62</v>
      </c>
      <c r="G553" s="9">
        <v>687</v>
      </c>
      <c r="H553" s="5" t="s">
        <v>20</v>
      </c>
      <c r="I553" s="5" t="s">
        <v>1515</v>
      </c>
      <c r="J553" s="12" t="str">
        <f>HYPERLINK("https://www.boe.es/gazeta/dias/1804/08/03/pdfs/GMD-1804-62.pdf#page=9","Abrir facsímil")</f>
        <v>Abrir facsímil</v>
      </c>
      <c r="K553" s="15" t="s">
        <v>22</v>
      </c>
    </row>
    <row r="554" spans="1:11" ht="42" customHeight="1">
      <c r="A554" s="4" t="s">
        <v>1516</v>
      </c>
      <c r="B554" s="5" t="s">
        <v>1517</v>
      </c>
      <c r="C554" s="5" t="s">
        <v>57</v>
      </c>
      <c r="D554" s="5" t="s">
        <v>58</v>
      </c>
      <c r="E554" s="5" t="s">
        <v>212</v>
      </c>
      <c r="F554" s="9">
        <v>89</v>
      </c>
      <c r="G554" s="9">
        <v>988</v>
      </c>
      <c r="H554" s="5" t="s">
        <v>20</v>
      </c>
      <c r="I554" s="5" t="s">
        <v>1518</v>
      </c>
      <c r="J554" s="12" t="str">
        <f>HYPERLINK("https://www.boe.es/gazeta/dias/1804/11/06/pdfs/GMD-1804-89.pdf#page=8","Abrir facsímil")</f>
        <v>Abrir facsímil</v>
      </c>
      <c r="K554" s="15" t="s">
        <v>22</v>
      </c>
    </row>
    <row r="555" spans="1:11" ht="42" customHeight="1">
      <c r="A555" s="4" t="s">
        <v>1516</v>
      </c>
      <c r="B555" s="5" t="s">
        <v>1517</v>
      </c>
      <c r="C555" s="5" t="s">
        <v>27</v>
      </c>
      <c r="D555" s="5" t="s">
        <v>28</v>
      </c>
      <c r="E555" s="5" t="s">
        <v>23</v>
      </c>
      <c r="F555" s="9">
        <v>91</v>
      </c>
      <c r="G555" s="9">
        <v>1006</v>
      </c>
      <c r="H555" s="5" t="s">
        <v>20</v>
      </c>
      <c r="I555" s="5" t="s">
        <v>1519</v>
      </c>
      <c r="J555" s="12" t="str">
        <f>HYPERLINK("https://www.boe.es/gazeta/dias/1804/11/13/pdfs/GMD-1804-91.pdf#page=6","Abrir facsímil")</f>
        <v>Abrir facsímil</v>
      </c>
      <c r="K555" s="15" t="s">
        <v>22</v>
      </c>
    </row>
    <row r="556" spans="1:11" ht="42" customHeight="1">
      <c r="A556" s="4" t="s">
        <v>1516</v>
      </c>
      <c r="B556" s="5" t="s">
        <v>1517</v>
      </c>
      <c r="C556" s="5" t="s">
        <v>57</v>
      </c>
      <c r="D556" s="5" t="s">
        <v>58</v>
      </c>
      <c r="E556" s="5" t="s">
        <v>50</v>
      </c>
      <c r="F556" s="9">
        <v>93</v>
      </c>
      <c r="G556" s="9">
        <v>1028</v>
      </c>
      <c r="H556" s="5" t="s">
        <v>20</v>
      </c>
      <c r="I556" s="5" t="s">
        <v>1520</v>
      </c>
      <c r="J556" s="12" t="str">
        <f>HYPERLINK("https://www.boe.es/gazeta/dias/1804/11/20/pdfs/GMD-1804-93.pdf#page=4","Abrir facsímil")</f>
        <v>Abrir facsímil</v>
      </c>
      <c r="K556" s="15" t="s">
        <v>22</v>
      </c>
    </row>
    <row r="557" spans="1:11" ht="42" customHeight="1">
      <c r="A557" s="4" t="s">
        <v>1521</v>
      </c>
      <c r="B557" s="5" t="s">
        <v>1522</v>
      </c>
      <c r="C557" s="5" t="s">
        <v>27</v>
      </c>
      <c r="D557" s="5" t="s">
        <v>28</v>
      </c>
      <c r="E557" s="5" t="s">
        <v>245</v>
      </c>
      <c r="F557" s="9">
        <v>6</v>
      </c>
      <c r="G557" s="9">
        <v>58</v>
      </c>
      <c r="H557" s="5" t="s">
        <v>20</v>
      </c>
      <c r="I557" s="5" t="s">
        <v>1523</v>
      </c>
      <c r="J557" s="12" t="str">
        <f>HYPERLINK("https://www.boe.es/gazeta/dias/1804/01/20/pdfs/GMD-1804-6.pdf#page=10","Abrir facsímil")</f>
        <v>Abrir facsímil</v>
      </c>
      <c r="K557" s="15" t="s">
        <v>22</v>
      </c>
    </row>
    <row r="558" spans="1:11" ht="42" customHeight="1">
      <c r="A558" s="4" t="s">
        <v>1524</v>
      </c>
      <c r="B558" s="5" t="s">
        <v>1524</v>
      </c>
      <c r="C558" s="5" t="s">
        <v>57</v>
      </c>
      <c r="D558" s="5" t="s">
        <v>58</v>
      </c>
      <c r="E558" s="5" t="s">
        <v>576</v>
      </c>
      <c r="F558" s="9">
        <v>85</v>
      </c>
      <c r="G558" s="9">
        <v>932</v>
      </c>
      <c r="H558" s="5" t="s">
        <v>20</v>
      </c>
      <c r="I558" s="5" t="s">
        <v>1525</v>
      </c>
      <c r="J558" s="12" t="str">
        <f>HYPERLINK("https://www.boe.es/gazeta/dias/1804/10/23/pdfs/GMD-1804-85.pdf#page=2","Abrir facsímil")</f>
        <v>Abrir facsímil</v>
      </c>
      <c r="K558" s="15" t="s">
        <v>22</v>
      </c>
    </row>
    <row r="559" spans="1:11" ht="42" customHeight="1">
      <c r="A559" s="4" t="s">
        <v>1524</v>
      </c>
      <c r="B559" s="5" t="s">
        <v>1524</v>
      </c>
      <c r="C559" s="5" t="s">
        <v>17</v>
      </c>
      <c r="D559" s="5" t="s">
        <v>18</v>
      </c>
      <c r="E559" s="5" t="s">
        <v>29</v>
      </c>
      <c r="F559" s="9">
        <v>88</v>
      </c>
      <c r="G559" s="9">
        <v>970</v>
      </c>
      <c r="H559" s="5" t="s">
        <v>20</v>
      </c>
      <c r="I559" s="5" t="s">
        <v>1526</v>
      </c>
      <c r="J559" s="12" t="str">
        <f>HYPERLINK("https://www.boe.es/gazeta/dias/1804/11/02/pdfs/GMD-1804-88.pdf#page=2","Abrir facsímil")</f>
        <v>Abrir facsímil</v>
      </c>
      <c r="K559" s="15" t="s">
        <v>22</v>
      </c>
    </row>
    <row r="560" spans="1:11" ht="42" customHeight="1">
      <c r="A560" s="4" t="s">
        <v>1527</v>
      </c>
      <c r="B560" s="5" t="s">
        <v>1527</v>
      </c>
      <c r="C560" s="5" t="s">
        <v>57</v>
      </c>
      <c r="D560" s="5" t="s">
        <v>58</v>
      </c>
      <c r="E560" s="5" t="s">
        <v>212</v>
      </c>
      <c r="F560" s="9">
        <v>89</v>
      </c>
      <c r="G560" s="9">
        <v>983</v>
      </c>
      <c r="H560" s="5" t="s">
        <v>20</v>
      </c>
      <c r="I560" s="5" t="s">
        <v>1528</v>
      </c>
      <c r="J560" s="12" t="str">
        <f>HYPERLINK("https://www.boe.es/gazeta/dias/1804/11/06/pdfs/GMD-1804-89.pdf#page=3","Abrir facsímil")</f>
        <v>Abrir facsímil</v>
      </c>
      <c r="K560" s="15" t="s">
        <v>22</v>
      </c>
    </row>
    <row r="561" spans="1:11" ht="42" customHeight="1">
      <c r="A561" s="4" t="s">
        <v>1529</v>
      </c>
      <c r="B561" s="5" t="s">
        <v>1529</v>
      </c>
      <c r="C561" s="5" t="s">
        <v>27</v>
      </c>
      <c r="D561" s="5" t="s">
        <v>28</v>
      </c>
      <c r="E561" s="5" t="s">
        <v>143</v>
      </c>
      <c r="F561" s="9">
        <v>87</v>
      </c>
      <c r="G561" s="9">
        <v>963</v>
      </c>
      <c r="H561" s="5" t="s">
        <v>20</v>
      </c>
      <c r="I561" s="5" t="s">
        <v>1530</v>
      </c>
      <c r="J561" s="12" t="str">
        <f>HYPERLINK("https://www.boe.es/gazeta/dias/1804/10/30/pdfs/GMD-1804-87.pdf#page=7","Abrir facsímil")</f>
        <v>Abrir facsímil</v>
      </c>
      <c r="K561" s="15" t="s">
        <v>22</v>
      </c>
    </row>
    <row r="562" spans="1:11" ht="42" customHeight="1">
      <c r="A562" s="4" t="s">
        <v>1531</v>
      </c>
      <c r="B562" s="5" t="s">
        <v>1531</v>
      </c>
      <c r="C562" s="5" t="s">
        <v>27</v>
      </c>
      <c r="D562" s="5" t="s">
        <v>28</v>
      </c>
      <c r="E562" s="5" t="s">
        <v>103</v>
      </c>
      <c r="F562" s="9">
        <v>11</v>
      </c>
      <c r="G562" s="9">
        <v>119</v>
      </c>
      <c r="H562" s="5" t="s">
        <v>20</v>
      </c>
      <c r="I562" s="5" t="s">
        <v>1532</v>
      </c>
      <c r="J562" s="12" t="str">
        <f>HYPERLINK("https://www.boe.es/gazeta/dias/1804/02/07/pdfs/GMD-1804-11.pdf#page=7","Abrir facsímil")</f>
        <v>Abrir facsímil</v>
      </c>
      <c r="K562" s="15" t="s">
        <v>22</v>
      </c>
    </row>
    <row r="563" spans="1:11" ht="42" customHeight="1">
      <c r="A563" s="4" t="s">
        <v>1533</v>
      </c>
      <c r="B563" s="5" t="s">
        <v>1534</v>
      </c>
      <c r="C563" s="5" t="s">
        <v>27</v>
      </c>
      <c r="D563" s="5" t="s">
        <v>28</v>
      </c>
      <c r="E563" s="5" t="s">
        <v>576</v>
      </c>
      <c r="F563" s="9">
        <v>85</v>
      </c>
      <c r="G563" s="9">
        <v>939</v>
      </c>
      <c r="H563" s="5" t="s">
        <v>20</v>
      </c>
      <c r="I563" s="5" t="s">
        <v>1535</v>
      </c>
      <c r="J563" s="12" t="str">
        <f>HYPERLINK("https://www.boe.es/gazeta/dias/1804/10/23/pdfs/GMD-1804-85.pdf#page=9","Abrir facsímil")</f>
        <v>Abrir facsímil</v>
      </c>
      <c r="K563" s="15" t="s">
        <v>22</v>
      </c>
    </row>
    <row r="564" spans="1:11" ht="42" customHeight="1">
      <c r="A564" s="4" t="s">
        <v>1536</v>
      </c>
      <c r="B564" s="5" t="s">
        <v>1537</v>
      </c>
      <c r="C564" s="5" t="s">
        <v>27</v>
      </c>
      <c r="D564" s="5" t="s">
        <v>28</v>
      </c>
      <c r="E564" s="5" t="s">
        <v>1020</v>
      </c>
      <c r="F564" s="9">
        <v>103</v>
      </c>
      <c r="G564" s="9">
        <v>1147</v>
      </c>
      <c r="H564" s="5" t="s">
        <v>20</v>
      </c>
      <c r="I564" s="5" t="s">
        <v>1538</v>
      </c>
      <c r="J564" s="12" t="str">
        <f>HYPERLINK("https://www.boe.es/gazeta/dias/1804/12/25/pdfs/GMD-1804-103.pdf#page=7","Abrir facsímil")</f>
        <v>Abrir facsímil</v>
      </c>
      <c r="K564" s="15" t="s">
        <v>22</v>
      </c>
    </row>
    <row r="565" spans="1:11" ht="42" customHeight="1">
      <c r="A565" s="4" t="s">
        <v>1539</v>
      </c>
      <c r="B565" s="5" t="s">
        <v>1540</v>
      </c>
      <c r="C565" s="5" t="s">
        <v>65</v>
      </c>
      <c r="D565" s="5" t="s">
        <v>66</v>
      </c>
      <c r="E565" s="5" t="s">
        <v>132</v>
      </c>
      <c r="F565" s="9">
        <v>52</v>
      </c>
      <c r="G565" s="9">
        <v>573</v>
      </c>
      <c r="H565" s="5" t="s">
        <v>20</v>
      </c>
      <c r="I565" s="5" t="s">
        <v>1541</v>
      </c>
      <c r="J565" s="12" t="str">
        <f>HYPERLINK("https://www.boe.es/gazeta/dias/1804/06/29/pdfs/GMD-1804-52.pdf#page=7","Abrir facsímil")</f>
        <v>Abrir facsímil</v>
      </c>
      <c r="K565" s="15" t="s">
        <v>22</v>
      </c>
    </row>
    <row r="566" spans="1:11" ht="42" customHeight="1">
      <c r="A566" s="4" t="s">
        <v>1539</v>
      </c>
      <c r="B566" s="5" t="s">
        <v>1540</v>
      </c>
      <c r="C566" s="5" t="s">
        <v>65</v>
      </c>
      <c r="D566" s="5" t="s">
        <v>66</v>
      </c>
      <c r="E566" s="5" t="s">
        <v>666</v>
      </c>
      <c r="F566" s="9">
        <v>57</v>
      </c>
      <c r="G566" s="9">
        <v>632</v>
      </c>
      <c r="H566" s="5" t="s">
        <v>20</v>
      </c>
      <c r="I566" s="5" t="s">
        <v>1542</v>
      </c>
      <c r="J566" s="12" t="str">
        <f>HYPERLINK("https://www.boe.es/gazeta/dias/1804/07/17/pdfs/GMD-1804-57.pdf#page=10","Abrir facsímil")</f>
        <v>Abrir facsímil</v>
      </c>
      <c r="K566" s="15" t="s">
        <v>22</v>
      </c>
    </row>
    <row r="567" spans="1:11" ht="42" customHeight="1">
      <c r="A567" s="4" t="s">
        <v>1543</v>
      </c>
      <c r="B567" s="5" t="s">
        <v>1543</v>
      </c>
      <c r="C567" s="5" t="s">
        <v>57</v>
      </c>
      <c r="D567" s="5" t="s">
        <v>58</v>
      </c>
      <c r="E567" s="5" t="s">
        <v>54</v>
      </c>
      <c r="F567" s="9">
        <v>63</v>
      </c>
      <c r="G567" s="9">
        <v>695</v>
      </c>
      <c r="H567" s="5" t="s">
        <v>20</v>
      </c>
      <c r="I567" s="5" t="s">
        <v>1544</v>
      </c>
      <c r="J567" s="12" t="str">
        <f>HYPERLINK("https://www.boe.es/gazeta/dias/1804/08/07/pdfs/GMD-1804-63.pdf#page=5","Abrir facsímil")</f>
        <v>Abrir facsímil</v>
      </c>
      <c r="K567" s="15" t="s">
        <v>22</v>
      </c>
    </row>
    <row r="568" spans="1:11" ht="42" customHeight="1">
      <c r="A568" s="4" t="s">
        <v>1545</v>
      </c>
      <c r="B568" s="5" t="s">
        <v>1546</v>
      </c>
      <c r="C568" s="5" t="s">
        <v>65</v>
      </c>
      <c r="D568" s="5" t="s">
        <v>66</v>
      </c>
      <c r="E568" s="5" t="s">
        <v>678</v>
      </c>
      <c r="F568" s="9">
        <v>104</v>
      </c>
      <c r="G568" s="9">
        <v>1162</v>
      </c>
      <c r="H568" s="5" t="s">
        <v>20</v>
      </c>
      <c r="I568" s="5" t="s">
        <v>1547</v>
      </c>
      <c r="J568" s="12" t="str">
        <f>HYPERLINK("https://www.boe.es/gazeta/dias/1804/12/28/pdfs/GMD-1804-104.pdf#page=10","Abrir facsímil")</f>
        <v>Abrir facsímil</v>
      </c>
      <c r="K568" s="15" t="s">
        <v>22</v>
      </c>
    </row>
    <row r="569" spans="1:11" ht="42" customHeight="1">
      <c r="A569" s="4" t="s">
        <v>1548</v>
      </c>
      <c r="B569" s="5" t="s">
        <v>1549</v>
      </c>
      <c r="C569" s="5" t="s">
        <v>57</v>
      </c>
      <c r="D569" s="5" t="s">
        <v>58</v>
      </c>
      <c r="E569" s="5" t="s">
        <v>87</v>
      </c>
      <c r="F569" s="9">
        <v>9</v>
      </c>
      <c r="G569" s="9">
        <v>96</v>
      </c>
      <c r="H569" s="5" t="s">
        <v>20</v>
      </c>
      <c r="I569" s="5" t="s">
        <v>1550</v>
      </c>
      <c r="J569" s="12" t="str">
        <f>HYPERLINK("https://www.boe.es/gazeta/dias/1804/01/31/pdfs/GMD-1804-9.pdf#page=8","Abrir facsímil")</f>
        <v>Abrir facsímil</v>
      </c>
      <c r="K569" s="15" t="s">
        <v>22</v>
      </c>
    </row>
    <row r="570" spans="1:11" ht="42" customHeight="1">
      <c r="A570" s="4" t="s">
        <v>1551</v>
      </c>
      <c r="B570" s="5" t="s">
        <v>1552</v>
      </c>
      <c r="C570" s="5" t="s">
        <v>17</v>
      </c>
      <c r="D570" s="5" t="s">
        <v>18</v>
      </c>
      <c r="E570" s="5" t="s">
        <v>736</v>
      </c>
      <c r="F570" s="9">
        <v>83</v>
      </c>
      <c r="G570" s="9">
        <v>921</v>
      </c>
      <c r="H570" s="5" t="s">
        <v>20</v>
      </c>
      <c r="I570" s="5" t="s">
        <v>1553</v>
      </c>
      <c r="J570" s="12" t="str">
        <f>HYPERLINK("https://www.boe.es/gazeta/dias/1804/10/16/pdfs/GMD-1804-83.pdf#page=11","Abrir facsímil")</f>
        <v>Abrir facsímil</v>
      </c>
      <c r="K570" s="15" t="s">
        <v>22</v>
      </c>
    </row>
    <row r="571" spans="1:11" ht="42" customHeight="1">
      <c r="A571" s="4" t="s">
        <v>1554</v>
      </c>
      <c r="B571" s="5" t="s">
        <v>1555</v>
      </c>
      <c r="C571" s="5" t="s">
        <v>17</v>
      </c>
      <c r="D571" s="5" t="s">
        <v>18</v>
      </c>
      <c r="E571" s="5" t="s">
        <v>251</v>
      </c>
      <c r="F571" s="9">
        <v>79</v>
      </c>
      <c r="G571" s="9">
        <v>879</v>
      </c>
      <c r="H571" s="5" t="s">
        <v>20</v>
      </c>
      <c r="I571" s="5" t="s">
        <v>1556</v>
      </c>
      <c r="J571" s="12" t="str">
        <f>HYPERLINK("https://www.boe.es/gazeta/dias/1804/10/02/pdfs/GMD-1804-79.pdf#page=9","Abrir facsímil")</f>
        <v>Abrir facsímil</v>
      </c>
      <c r="K571" s="15" t="s">
        <v>22</v>
      </c>
    </row>
    <row r="572" spans="1:11" ht="42" customHeight="1">
      <c r="A572" s="4" t="s">
        <v>1557</v>
      </c>
      <c r="B572" s="5" t="s">
        <v>1558</v>
      </c>
      <c r="C572" s="5" t="s">
        <v>27</v>
      </c>
      <c r="D572" s="5" t="s">
        <v>28</v>
      </c>
      <c r="E572" s="5" t="s">
        <v>704</v>
      </c>
      <c r="F572" s="9">
        <v>36</v>
      </c>
      <c r="G572" s="9">
        <v>399</v>
      </c>
      <c r="H572" s="5" t="s">
        <v>20</v>
      </c>
      <c r="I572" s="5" t="s">
        <v>1559</v>
      </c>
      <c r="J572" s="12" t="str">
        <f>HYPERLINK("https://www.boe.es/gazeta/dias/1804/05/04/pdfs/GMD-1804-36.pdf#page=9","Abrir facsímil")</f>
        <v>Abrir facsímil</v>
      </c>
      <c r="K572" s="15" t="s">
        <v>22</v>
      </c>
    </row>
    <row r="573" spans="1:11" ht="42" customHeight="1">
      <c r="A573" s="4" t="s">
        <v>1560</v>
      </c>
      <c r="B573" s="5" t="s">
        <v>1561</v>
      </c>
      <c r="C573" s="5" t="s">
        <v>262</v>
      </c>
      <c r="D573" s="5" t="s">
        <v>263</v>
      </c>
      <c r="E573" s="5" t="s">
        <v>398</v>
      </c>
      <c r="F573" s="9">
        <v>22</v>
      </c>
      <c r="G573" s="9">
        <v>250</v>
      </c>
      <c r="H573" s="5" t="s">
        <v>20</v>
      </c>
      <c r="I573" s="5" t="s">
        <v>1562</v>
      </c>
      <c r="J573" s="12" t="str">
        <f>HYPERLINK("https://www.boe.es/gazeta/dias/1804/03/16/pdfs/GMD-C-1804-22.pdf#page=2","Abrir facsímil")</f>
        <v>Abrir facsímil</v>
      </c>
      <c r="K573" s="15" t="s">
        <v>22</v>
      </c>
    </row>
    <row r="574" spans="1:11" ht="42" customHeight="1">
      <c r="A574" s="4" t="s">
        <v>1560</v>
      </c>
      <c r="B574" s="5" t="s">
        <v>1561</v>
      </c>
      <c r="C574" s="5" t="s">
        <v>262</v>
      </c>
      <c r="D574" s="5" t="s">
        <v>263</v>
      </c>
      <c r="E574" s="5" t="s">
        <v>666</v>
      </c>
      <c r="F574" s="9">
        <v>57</v>
      </c>
      <c r="G574" s="9">
        <v>636</v>
      </c>
      <c r="H574" s="5" t="s">
        <v>20</v>
      </c>
      <c r="I574" s="5" t="s">
        <v>1563</v>
      </c>
      <c r="J574" s="12" t="str">
        <f>HYPERLINK("https://www.boe.es/gazeta/dias/1804/07/17/pdfs/GMD-C-1804-57.pdf#page=2","Abrir facsímil")</f>
        <v>Abrir facsímil</v>
      </c>
      <c r="K574" s="15" t="s">
        <v>22</v>
      </c>
    </row>
    <row r="575" spans="1:11" ht="42" customHeight="1">
      <c r="A575" s="4" t="s">
        <v>1564</v>
      </c>
      <c r="B575" s="5" t="s">
        <v>1565</v>
      </c>
      <c r="C575" s="5" t="s">
        <v>65</v>
      </c>
      <c r="D575" s="5" t="s">
        <v>66</v>
      </c>
      <c r="E575" s="5" t="s">
        <v>453</v>
      </c>
      <c r="F575" s="9">
        <v>33</v>
      </c>
      <c r="G575" s="9">
        <v>366</v>
      </c>
      <c r="H575" s="5" t="s">
        <v>20</v>
      </c>
      <c r="I575" s="5" t="s">
        <v>1566</v>
      </c>
      <c r="J575" s="12" t="str">
        <f>HYPERLINK("https://www.boe.es/gazeta/dias/1804/04/24/pdfs/GMD-1804-33.pdf#page=8","Abrir facsímil")</f>
        <v>Abrir facsímil</v>
      </c>
      <c r="K575" s="15" t="s">
        <v>22</v>
      </c>
    </row>
    <row r="576" spans="1:11" ht="42" customHeight="1">
      <c r="A576" s="4" t="s">
        <v>1567</v>
      </c>
      <c r="B576" s="5" t="s">
        <v>1568</v>
      </c>
      <c r="C576" s="5" t="s">
        <v>27</v>
      </c>
      <c r="D576" s="5" t="s">
        <v>28</v>
      </c>
      <c r="E576" s="5" t="s">
        <v>332</v>
      </c>
      <c r="F576" s="9">
        <v>66</v>
      </c>
      <c r="G576" s="9">
        <v>740</v>
      </c>
      <c r="H576" s="5" t="s">
        <v>20</v>
      </c>
      <c r="I576" s="5" t="s">
        <v>1569</v>
      </c>
      <c r="J576" s="12" t="str">
        <f>HYPERLINK("https://www.boe.es/gazeta/dias/1804/08/17/pdfs/GMD-1804-66.pdf#page=6","Abrir facsímil")</f>
        <v>Abrir facsímil</v>
      </c>
      <c r="K576" s="15" t="s">
        <v>22</v>
      </c>
    </row>
    <row r="577" spans="1:11" ht="42" customHeight="1">
      <c r="A577" s="4" t="s">
        <v>1570</v>
      </c>
      <c r="B577" s="5" t="s">
        <v>1571</v>
      </c>
      <c r="C577" s="5" t="s">
        <v>65</v>
      </c>
      <c r="D577" s="5" t="s">
        <v>66</v>
      </c>
      <c r="E577" s="5" t="s">
        <v>147</v>
      </c>
      <c r="F577" s="9">
        <v>77</v>
      </c>
      <c r="G577" s="9">
        <v>858</v>
      </c>
      <c r="H577" s="5" t="s">
        <v>20</v>
      </c>
      <c r="I577" s="5" t="s">
        <v>1572</v>
      </c>
      <c r="J577" s="12" t="str">
        <f>HYPERLINK("https://www.boe.es/gazeta/dias/1804/09/25/pdfs/GMD-1804-77.pdf#page=8","Abrir facsímil")</f>
        <v>Abrir facsímil</v>
      </c>
      <c r="K577" s="15" t="s">
        <v>22</v>
      </c>
    </row>
    <row r="578" spans="1:11" ht="42" customHeight="1">
      <c r="A578" s="4" t="s">
        <v>1573</v>
      </c>
      <c r="B578" s="5" t="s">
        <v>1574</v>
      </c>
      <c r="C578" s="5" t="s">
        <v>27</v>
      </c>
      <c r="D578" s="5" t="s">
        <v>28</v>
      </c>
      <c r="E578" s="5" t="s">
        <v>33</v>
      </c>
      <c r="F578" s="9">
        <v>48</v>
      </c>
      <c r="G578" s="9">
        <v>537</v>
      </c>
      <c r="H578" s="5" t="s">
        <v>20</v>
      </c>
      <c r="I578" s="5" t="s">
        <v>1575</v>
      </c>
      <c r="J578" s="12" t="str">
        <f>HYPERLINK("https://www.boe.es/gazeta/dias/1804/06/15/pdfs/GMD-1804-48.pdf#page=7","Abrir facsímil")</f>
        <v>Abrir facsímil</v>
      </c>
      <c r="K578" s="15" t="s">
        <v>22</v>
      </c>
    </row>
    <row r="579" spans="1:11" ht="42" customHeight="1">
      <c r="A579" s="4" t="s">
        <v>1576</v>
      </c>
      <c r="B579" s="5" t="s">
        <v>1577</v>
      </c>
      <c r="C579" s="5" t="s">
        <v>198</v>
      </c>
      <c r="D579" s="5" t="s">
        <v>66</v>
      </c>
      <c r="E579" s="5" t="s">
        <v>67</v>
      </c>
      <c r="F579" s="9">
        <v>59</v>
      </c>
      <c r="G579" s="9">
        <v>656</v>
      </c>
      <c r="H579" s="5" t="s">
        <v>20</v>
      </c>
      <c r="I579" s="5" t="s">
        <v>1578</v>
      </c>
      <c r="J579" s="12" t="str">
        <f>HYPERLINK("https://www.boe.es/gazeta/dias/1804/07/24/pdfs/GMD-1804-59.pdf#page=10","Abrir facsímil")</f>
        <v>Abrir facsímil</v>
      </c>
      <c r="K579" s="15" t="s">
        <v>22</v>
      </c>
    </row>
    <row r="580" spans="1:11" ht="42" customHeight="1">
      <c r="A580" s="4" t="s">
        <v>1579</v>
      </c>
      <c r="B580" s="5" t="s">
        <v>1580</v>
      </c>
      <c r="C580" s="5" t="s">
        <v>17</v>
      </c>
      <c r="D580" s="5" t="s">
        <v>18</v>
      </c>
      <c r="E580" s="5" t="s">
        <v>71</v>
      </c>
      <c r="F580" s="9">
        <v>99</v>
      </c>
      <c r="G580" s="9">
        <v>1107</v>
      </c>
      <c r="H580" s="5" t="s">
        <v>20</v>
      </c>
      <c r="I580" s="5" t="s">
        <v>1581</v>
      </c>
      <c r="J580" s="12" t="str">
        <f>HYPERLINK("https://www.boe.es/gazeta/dias/1804/12/11/pdfs/GMD-1804-99.pdf#page=7","Abrir facsímil")</f>
        <v>Abrir facsímil</v>
      </c>
      <c r="K580" s="15" t="s">
        <v>22</v>
      </c>
    </row>
    <row r="581" spans="1:11" ht="42" customHeight="1">
      <c r="A581" s="4" t="s">
        <v>1582</v>
      </c>
      <c r="B581" s="5" t="s">
        <v>1583</v>
      </c>
      <c r="C581" s="5" t="s">
        <v>27</v>
      </c>
      <c r="D581" s="5" t="s">
        <v>28</v>
      </c>
      <c r="E581" s="5" t="s">
        <v>151</v>
      </c>
      <c r="F581" s="9">
        <v>13</v>
      </c>
      <c r="G581" s="9">
        <v>142</v>
      </c>
      <c r="H581" s="5" t="s">
        <v>20</v>
      </c>
      <c r="I581" s="5" t="s">
        <v>1584</v>
      </c>
      <c r="J581" s="12" t="str">
        <f>HYPERLINK("https://www.boe.es/gazeta/dias/1804/02/14/pdfs/GMD-1804-13.pdf#page=6","Abrir facsímil")</f>
        <v>Abrir facsímil</v>
      </c>
      <c r="K581" s="15" t="s">
        <v>22</v>
      </c>
    </row>
    <row r="582" spans="1:11" ht="42" customHeight="1">
      <c r="A582" s="4" t="s">
        <v>1585</v>
      </c>
      <c r="B582" s="5" t="s">
        <v>1586</v>
      </c>
      <c r="C582" s="5" t="s">
        <v>17</v>
      </c>
      <c r="D582" s="5" t="s">
        <v>18</v>
      </c>
      <c r="E582" s="5" t="s">
        <v>71</v>
      </c>
      <c r="F582" s="9">
        <v>99</v>
      </c>
      <c r="G582" s="9">
        <v>1106</v>
      </c>
      <c r="H582" s="5" t="s">
        <v>20</v>
      </c>
      <c r="I582" s="5" t="s">
        <v>1587</v>
      </c>
      <c r="J582" s="12" t="str">
        <f>HYPERLINK("https://www.boe.es/gazeta/dias/1804/12/11/pdfs/GMD-1804-99.pdf#page=6","Abrir facsímil")</f>
        <v>Abrir facsímil</v>
      </c>
      <c r="K582" s="15" t="s">
        <v>22</v>
      </c>
    </row>
    <row r="583" spans="1:11" ht="42" customHeight="1">
      <c r="A583" s="4" t="s">
        <v>1588</v>
      </c>
      <c r="B583" s="5" t="s">
        <v>1589</v>
      </c>
      <c r="C583" s="5" t="s">
        <v>27</v>
      </c>
      <c r="D583" s="5" t="s">
        <v>28</v>
      </c>
      <c r="E583" s="5" t="s">
        <v>453</v>
      </c>
      <c r="F583" s="9">
        <v>33</v>
      </c>
      <c r="G583" s="9">
        <v>366</v>
      </c>
      <c r="H583" s="5" t="s">
        <v>20</v>
      </c>
      <c r="I583" s="5" t="s">
        <v>1590</v>
      </c>
      <c r="J583" s="12" t="str">
        <f>HYPERLINK("https://www.boe.es/gazeta/dias/1804/04/24/pdfs/GMD-1804-33.pdf#page=8","Abrir facsímil")</f>
        <v>Abrir facsímil</v>
      </c>
      <c r="K583" s="15" t="s">
        <v>22</v>
      </c>
    </row>
    <row r="584" spans="1:11" ht="42" customHeight="1">
      <c r="A584" s="4" t="s">
        <v>1591</v>
      </c>
      <c r="B584" s="5" t="s">
        <v>1592</v>
      </c>
      <c r="C584" s="5" t="s">
        <v>27</v>
      </c>
      <c r="D584" s="5" t="s">
        <v>28</v>
      </c>
      <c r="E584" s="5" t="s">
        <v>140</v>
      </c>
      <c r="F584" s="9">
        <v>39</v>
      </c>
      <c r="G584" s="9">
        <v>436</v>
      </c>
      <c r="H584" s="5" t="s">
        <v>20</v>
      </c>
      <c r="I584" s="5" t="s">
        <v>1593</v>
      </c>
      <c r="J584" s="12" t="str">
        <f>HYPERLINK("https://www.boe.es/gazeta/dias/1804/05/15/pdfs/GMD-1804-39.pdf#page=10","Abrir facsímil")</f>
        <v>Abrir facsímil</v>
      </c>
      <c r="K584" s="15" t="s">
        <v>22</v>
      </c>
    </row>
    <row r="585" spans="1:11" ht="42" customHeight="1">
      <c r="A585" s="4" t="s">
        <v>1594</v>
      </c>
      <c r="B585" s="5" t="s">
        <v>1595</v>
      </c>
      <c r="C585" s="5" t="s">
        <v>57</v>
      </c>
      <c r="D585" s="5" t="s">
        <v>58</v>
      </c>
      <c r="E585" s="5" t="s">
        <v>398</v>
      </c>
      <c r="F585" s="9">
        <v>22</v>
      </c>
      <c r="G585" s="9">
        <v>239</v>
      </c>
      <c r="H585" s="5" t="s">
        <v>20</v>
      </c>
      <c r="I585" s="5" t="s">
        <v>1596</v>
      </c>
      <c r="J585" s="12" t="str">
        <f>HYPERLINK("https://www.boe.es/gazeta/dias/1804/03/16/pdfs/GMD-1804-22.pdf#page=3","Abrir facsímil")</f>
        <v>Abrir facsímil</v>
      </c>
      <c r="K585" s="15" t="s">
        <v>22</v>
      </c>
    </row>
    <row r="586" spans="1:11" ht="42" customHeight="1">
      <c r="A586" s="4" t="s">
        <v>1597</v>
      </c>
      <c r="B586" s="5" t="s">
        <v>1598</v>
      </c>
      <c r="C586" s="5" t="s">
        <v>17</v>
      </c>
      <c r="D586" s="5" t="s">
        <v>18</v>
      </c>
      <c r="E586" s="5" t="s">
        <v>950</v>
      </c>
      <c r="F586" s="9">
        <v>90</v>
      </c>
      <c r="G586" s="9">
        <v>997</v>
      </c>
      <c r="H586" s="5" t="s">
        <v>20</v>
      </c>
      <c r="I586" s="5" t="s">
        <v>1599</v>
      </c>
      <c r="J586" s="12" t="str">
        <f>HYPERLINK("https://www.boe.es/gazeta/dias/1804/11/09/pdfs/GMD-1804-90.pdf#page=5","Abrir facsímil")</f>
        <v>Abrir facsímil</v>
      </c>
      <c r="K586" s="15" t="s">
        <v>22</v>
      </c>
    </row>
    <row r="587" spans="1:11" ht="42" customHeight="1">
      <c r="A587" s="4" t="s">
        <v>1600</v>
      </c>
      <c r="B587" s="5" t="s">
        <v>1601</v>
      </c>
      <c r="C587" s="5" t="s">
        <v>27</v>
      </c>
      <c r="D587" s="5" t="s">
        <v>28</v>
      </c>
      <c r="E587" s="5" t="s">
        <v>320</v>
      </c>
      <c r="F587" s="9">
        <v>31</v>
      </c>
      <c r="G587" s="9">
        <v>344</v>
      </c>
      <c r="H587" s="5" t="s">
        <v>20</v>
      </c>
      <c r="I587" s="5" t="s">
        <v>1602</v>
      </c>
      <c r="J587" s="12" t="str">
        <f>HYPERLINK("https://www.boe.es/gazeta/dias/1804/04/17/pdfs/GMD-1804-31.pdf#page=10","Abrir facsímil")</f>
        <v>Abrir facsímil</v>
      </c>
      <c r="K587" s="15" t="s">
        <v>22</v>
      </c>
    </row>
    <row r="588" spans="1:11" ht="42" customHeight="1">
      <c r="A588" s="4" t="s">
        <v>1603</v>
      </c>
      <c r="B588" s="5" t="s">
        <v>1604</v>
      </c>
      <c r="C588" s="5" t="s">
        <v>120</v>
      </c>
      <c r="D588" s="5" t="s">
        <v>121</v>
      </c>
      <c r="E588" s="5" t="s">
        <v>33</v>
      </c>
      <c r="F588" s="9">
        <v>48</v>
      </c>
      <c r="G588" s="9" t="s">
        <v>819</v>
      </c>
      <c r="H588" s="5" t="s">
        <v>20</v>
      </c>
      <c r="I588" s="5" t="s">
        <v>1605</v>
      </c>
      <c r="J588" s="12" t="str">
        <f>HYPERLINK("https://www.boe.es/gazeta/dias/1804/06/15/pdfs/GMD-C-1804-48.pdf#page=4","Abrir facsímil")</f>
        <v>Abrir facsímil</v>
      </c>
      <c r="K588" s="15" t="s">
        <v>22</v>
      </c>
    </row>
    <row r="589" spans="1:11" ht="42" customHeight="1">
      <c r="A589" s="4" t="s">
        <v>1606</v>
      </c>
      <c r="B589" s="5" t="s">
        <v>1607</v>
      </c>
      <c r="C589" s="5" t="s">
        <v>17</v>
      </c>
      <c r="D589" s="5" t="s">
        <v>18</v>
      </c>
      <c r="E589" s="5" t="s">
        <v>317</v>
      </c>
      <c r="F589" s="9">
        <v>56</v>
      </c>
      <c r="G589" s="9">
        <v>621</v>
      </c>
      <c r="H589" s="5" t="s">
        <v>20</v>
      </c>
      <c r="I589" s="5" t="s">
        <v>1608</v>
      </c>
      <c r="J589" s="12" t="str">
        <f>HYPERLINK("https://www.boe.es/gazeta/dias/1804/07/13/pdfs/GMD-1804-56.pdf#page=7","Abrir facsímil")</f>
        <v>Abrir facsímil</v>
      </c>
      <c r="K589" s="15" t="s">
        <v>22</v>
      </c>
    </row>
    <row r="590" spans="1:11" ht="42" customHeight="1">
      <c r="A590" s="4" t="s">
        <v>1609</v>
      </c>
      <c r="B590" s="5" t="s">
        <v>1610</v>
      </c>
      <c r="C590" s="5" t="s">
        <v>17</v>
      </c>
      <c r="D590" s="5" t="s">
        <v>18</v>
      </c>
      <c r="E590" s="5" t="s">
        <v>106</v>
      </c>
      <c r="F590" s="9">
        <v>34</v>
      </c>
      <c r="G590" s="9">
        <v>376</v>
      </c>
      <c r="H590" s="5" t="s">
        <v>20</v>
      </c>
      <c r="I590" s="5" t="s">
        <v>1611</v>
      </c>
      <c r="J590" s="12" t="str">
        <f>HYPERLINK("https://www.boe.es/gazeta/dias/1804/04/27/pdfs/GMD-1804-34.pdf#page=6","Abrir facsímil")</f>
        <v>Abrir facsímil</v>
      </c>
      <c r="K590" s="15" t="s">
        <v>22</v>
      </c>
    </row>
    <row r="591" spans="1:11" ht="42" customHeight="1">
      <c r="A591" s="4" t="s">
        <v>1612</v>
      </c>
      <c r="B591" s="5" t="s">
        <v>1613</v>
      </c>
      <c r="C591" s="5" t="s">
        <v>57</v>
      </c>
      <c r="D591" s="5" t="s">
        <v>58</v>
      </c>
      <c r="E591" s="5" t="s">
        <v>308</v>
      </c>
      <c r="F591" s="9">
        <v>96</v>
      </c>
      <c r="G591" s="9">
        <v>1065</v>
      </c>
      <c r="H591" s="5" t="s">
        <v>20</v>
      </c>
      <c r="I591" s="5" t="s">
        <v>1614</v>
      </c>
      <c r="J591" s="12" t="str">
        <f>HYPERLINK("https://www.boe.es/gazeta/dias/1804/11/30/pdfs/GMD-1804-96.pdf#page=5","Abrir facsímil")</f>
        <v>Abrir facsímil</v>
      </c>
      <c r="K591" s="15" t="s">
        <v>22</v>
      </c>
    </row>
    <row r="592" spans="1:11" ht="42" customHeight="1">
      <c r="A592" s="4" t="s">
        <v>1615</v>
      </c>
      <c r="B592" s="5" t="s">
        <v>1616</v>
      </c>
      <c r="C592" s="5" t="s">
        <v>65</v>
      </c>
      <c r="D592" s="5" t="s">
        <v>66</v>
      </c>
      <c r="E592" s="5" t="s">
        <v>132</v>
      </c>
      <c r="F592" s="9">
        <v>52</v>
      </c>
      <c r="G592" s="9">
        <v>573</v>
      </c>
      <c r="H592" s="5" t="s">
        <v>20</v>
      </c>
      <c r="I592" s="5" t="s">
        <v>1617</v>
      </c>
      <c r="J592" s="12" t="str">
        <f>HYPERLINK("https://www.boe.es/gazeta/dias/1804/06/29/pdfs/GMD-1804-52.pdf#page=7","Abrir facsímil")</f>
        <v>Abrir facsímil</v>
      </c>
      <c r="K592" s="15" t="s">
        <v>22</v>
      </c>
    </row>
    <row r="593" spans="1:11" ht="42" customHeight="1">
      <c r="A593" s="4" t="s">
        <v>1618</v>
      </c>
      <c r="B593" s="5" t="s">
        <v>1619</v>
      </c>
      <c r="C593" s="5" t="s">
        <v>27</v>
      </c>
      <c r="D593" s="5" t="s">
        <v>28</v>
      </c>
      <c r="E593" s="5" t="s">
        <v>258</v>
      </c>
      <c r="F593" s="9">
        <v>14</v>
      </c>
      <c r="G593" s="9">
        <v>153</v>
      </c>
      <c r="H593" s="5" t="s">
        <v>20</v>
      </c>
      <c r="I593" s="5" t="s">
        <v>1620</v>
      </c>
      <c r="J593" s="12" t="str">
        <f>HYPERLINK("https://www.boe.es/gazeta/dias/1804/02/17/pdfs/GMD-1804-14.pdf#page=9","Abrir facsímil")</f>
        <v>Abrir facsímil</v>
      </c>
      <c r="K593" s="15" t="s">
        <v>22</v>
      </c>
    </row>
    <row r="594" spans="1:11" ht="42" customHeight="1">
      <c r="A594" s="4" t="s">
        <v>1621</v>
      </c>
      <c r="B594" s="5" t="s">
        <v>1622</v>
      </c>
      <c r="C594" s="5" t="s">
        <v>65</v>
      </c>
      <c r="D594" s="5" t="s">
        <v>66</v>
      </c>
      <c r="E594" s="5" t="s">
        <v>453</v>
      </c>
      <c r="F594" s="9">
        <v>33</v>
      </c>
      <c r="G594" s="9">
        <v>366</v>
      </c>
      <c r="H594" s="5" t="s">
        <v>20</v>
      </c>
      <c r="I594" s="5" t="s">
        <v>1623</v>
      </c>
      <c r="J594" s="12" t="str">
        <f>HYPERLINK("https://www.boe.es/gazeta/dias/1804/04/24/pdfs/GMD-1804-33.pdf#page=8","Abrir facsímil")</f>
        <v>Abrir facsímil</v>
      </c>
      <c r="K594" s="15" t="s">
        <v>22</v>
      </c>
    </row>
    <row r="595" spans="1:11" ht="42" customHeight="1">
      <c r="A595" s="4" t="s">
        <v>1624</v>
      </c>
      <c r="B595" s="5" t="s">
        <v>1625</v>
      </c>
      <c r="C595" s="5" t="s">
        <v>120</v>
      </c>
      <c r="D595" s="5" t="s">
        <v>121</v>
      </c>
      <c r="E595" s="5" t="s">
        <v>33</v>
      </c>
      <c r="F595" s="9">
        <v>48</v>
      </c>
      <c r="G595" s="9" t="s">
        <v>285</v>
      </c>
      <c r="H595" s="5" t="s">
        <v>20</v>
      </c>
      <c r="I595" s="5" t="s">
        <v>1626</v>
      </c>
      <c r="J595" s="12" t="str">
        <f>HYPERLINK("https://www.boe.es/gazeta/dias/1804/06/15/pdfs/GMD-C-1804-48.pdf#page=2","Abrir facsímil")</f>
        <v>Abrir facsímil</v>
      </c>
      <c r="K595" s="15" t="s">
        <v>22</v>
      </c>
    </row>
    <row r="596" spans="1:11" ht="42" customHeight="1">
      <c r="A596" s="4" t="s">
        <v>1627</v>
      </c>
      <c r="B596" s="5" t="s">
        <v>1628</v>
      </c>
      <c r="C596" s="5" t="s">
        <v>120</v>
      </c>
      <c r="D596" s="5" t="s">
        <v>121</v>
      </c>
      <c r="E596" s="5" t="s">
        <v>33</v>
      </c>
      <c r="F596" s="9">
        <v>48</v>
      </c>
      <c r="G596" s="9" t="s">
        <v>98</v>
      </c>
      <c r="H596" s="5" t="s">
        <v>20</v>
      </c>
      <c r="I596" s="5" t="s">
        <v>1629</v>
      </c>
      <c r="J596" s="12" t="str">
        <f>HYPERLINK("https://www.boe.es/gazeta/dias/1804/06/15/pdfs/GMD-C-1804-48.pdf#page=1","Abrir facsímil")</f>
        <v>Abrir facsímil</v>
      </c>
      <c r="K596" s="15" t="s">
        <v>22</v>
      </c>
    </row>
    <row r="597" spans="1:11" ht="42" customHeight="1">
      <c r="A597" s="4" t="s">
        <v>1627</v>
      </c>
      <c r="B597" s="5" t="s">
        <v>1628</v>
      </c>
      <c r="C597" s="5" t="s">
        <v>17</v>
      </c>
      <c r="D597" s="5" t="s">
        <v>18</v>
      </c>
      <c r="E597" s="5" t="s">
        <v>175</v>
      </c>
      <c r="F597" s="9">
        <v>58</v>
      </c>
      <c r="G597" s="9">
        <v>646</v>
      </c>
      <c r="H597" s="5" t="s">
        <v>20</v>
      </c>
      <c r="I597" s="5" t="s">
        <v>1630</v>
      </c>
      <c r="J597" s="12" t="str">
        <f>HYPERLINK("https://www.boe.es/gazeta/dias/1804/07/20/pdfs/GMD-1804-58.pdf#page=12","Abrir facsímil")</f>
        <v>Abrir facsímil</v>
      </c>
      <c r="K597" s="15" t="s">
        <v>22</v>
      </c>
    </row>
    <row r="598" spans="1:11" ht="42" customHeight="1">
      <c r="A598" s="4" t="s">
        <v>1631</v>
      </c>
      <c r="B598" s="5" t="s">
        <v>1632</v>
      </c>
      <c r="C598" s="5" t="s">
        <v>27</v>
      </c>
      <c r="D598" s="5" t="s">
        <v>28</v>
      </c>
      <c r="E598" s="5" t="s">
        <v>159</v>
      </c>
      <c r="F598" s="9">
        <v>15</v>
      </c>
      <c r="G598" s="9">
        <v>164</v>
      </c>
      <c r="H598" s="5" t="s">
        <v>20</v>
      </c>
      <c r="I598" s="5" t="s">
        <v>1633</v>
      </c>
      <c r="J598" s="12" t="str">
        <f>HYPERLINK("https://www.boe.es/gazeta/dias/1804/02/21/pdfs/GMD-1804-15.pdf#page=8","Abrir facsímil")</f>
        <v>Abrir facsímil</v>
      </c>
      <c r="K598" s="15" t="s">
        <v>22</v>
      </c>
    </row>
    <row r="599" spans="1:11" ht="42" customHeight="1">
      <c r="A599" s="4" t="s">
        <v>1634</v>
      </c>
      <c r="B599" s="5" t="s">
        <v>1635</v>
      </c>
      <c r="C599" s="5" t="s">
        <v>65</v>
      </c>
      <c r="D599" s="5" t="s">
        <v>66</v>
      </c>
      <c r="E599" s="5" t="s">
        <v>163</v>
      </c>
      <c r="F599" s="9">
        <v>70</v>
      </c>
      <c r="G599" s="9">
        <v>784</v>
      </c>
      <c r="H599" s="5" t="s">
        <v>20</v>
      </c>
      <c r="I599" s="5" t="s">
        <v>1636</v>
      </c>
      <c r="J599" s="12" t="str">
        <f>HYPERLINK("https://www.boe.es/gazeta/dias/1804/08/31/pdfs/GMD-1804-70.pdf#page=6","Abrir facsímil")</f>
        <v>Abrir facsímil</v>
      </c>
      <c r="K599" s="15" t="s">
        <v>22</v>
      </c>
    </row>
    <row r="600" spans="1:11" ht="42" customHeight="1">
      <c r="A600" s="4" t="s">
        <v>1637</v>
      </c>
      <c r="B600" s="5" t="s">
        <v>1637</v>
      </c>
      <c r="C600" s="5" t="s">
        <v>65</v>
      </c>
      <c r="D600" s="5" t="s">
        <v>66</v>
      </c>
      <c r="E600" s="5" t="s">
        <v>526</v>
      </c>
      <c r="F600" s="9">
        <v>95</v>
      </c>
      <c r="G600" s="9">
        <v>1055</v>
      </c>
      <c r="H600" s="5" t="s">
        <v>20</v>
      </c>
      <c r="I600" s="5" t="s">
        <v>1638</v>
      </c>
      <c r="J600" s="12" t="str">
        <f>HYPERLINK("https://www.boe.es/gazeta/dias/1804/11/27/pdfs/GMD-1804-95.pdf#page=7","Abrir facsímil")</f>
        <v>Abrir facsímil</v>
      </c>
      <c r="K600" s="15" t="s">
        <v>22</v>
      </c>
    </row>
    <row r="601" spans="1:11" ht="42" customHeight="1">
      <c r="A601" s="4" t="s">
        <v>1639</v>
      </c>
      <c r="B601" s="5" t="s">
        <v>1640</v>
      </c>
      <c r="C601" s="5" t="s">
        <v>27</v>
      </c>
      <c r="D601" s="5" t="s">
        <v>28</v>
      </c>
      <c r="E601" s="5" t="s">
        <v>43</v>
      </c>
      <c r="F601" s="9">
        <v>84</v>
      </c>
      <c r="G601" s="9">
        <v>928</v>
      </c>
      <c r="H601" s="5" t="s">
        <v>20</v>
      </c>
      <c r="I601" s="5" t="s">
        <v>1641</v>
      </c>
      <c r="J601" s="12" t="str">
        <f>HYPERLINK("https://www.boe.es/gazeta/dias/1804/10/19/pdfs/GMD-1804-84.pdf#page=6","Abrir facsímil")</f>
        <v>Abrir facsímil</v>
      </c>
      <c r="K601" s="15" t="s">
        <v>22</v>
      </c>
    </row>
    <row r="602" spans="1:11" ht="42" customHeight="1">
      <c r="A602" s="4" t="s">
        <v>1642</v>
      </c>
      <c r="B602" s="5" t="s">
        <v>1643</v>
      </c>
      <c r="C602" s="5" t="s">
        <v>17</v>
      </c>
      <c r="D602" s="5" t="s">
        <v>18</v>
      </c>
      <c r="E602" s="5" t="s">
        <v>367</v>
      </c>
      <c r="F602" s="9">
        <v>64</v>
      </c>
      <c r="G602" s="9">
        <v>715</v>
      </c>
      <c r="H602" s="5" t="s">
        <v>20</v>
      </c>
      <c r="I602" s="5" t="s">
        <v>1644</v>
      </c>
      <c r="J602" s="12" t="str">
        <f>HYPERLINK("https://www.boe.es/gazeta/dias/1804/08/10/pdfs/GMD-1804-64.pdf#page=9","Abrir facsímil")</f>
        <v>Abrir facsímil</v>
      </c>
      <c r="K602" s="15" t="s">
        <v>22</v>
      </c>
    </row>
    <row r="603" spans="1:11" ht="42" customHeight="1">
      <c r="A603" s="4" t="s">
        <v>1645</v>
      </c>
      <c r="B603" s="5" t="s">
        <v>1646</v>
      </c>
      <c r="C603" s="5" t="s">
        <v>17</v>
      </c>
      <c r="D603" s="5" t="s">
        <v>18</v>
      </c>
      <c r="E603" s="5" t="s">
        <v>109</v>
      </c>
      <c r="F603" s="9">
        <v>35</v>
      </c>
      <c r="G603" s="9">
        <v>382</v>
      </c>
      <c r="H603" s="5" t="s">
        <v>20</v>
      </c>
      <c r="I603" s="5" t="s">
        <v>1647</v>
      </c>
      <c r="J603" s="12" t="str">
        <f>HYPERLINK("https://www.boe.es/gazeta/dias/1804/05/01/pdfs/GMD-1804-35.pdf#page=4","Abrir facsímil")</f>
        <v>Abrir facsímil</v>
      </c>
      <c r="K603" s="15" t="s">
        <v>22</v>
      </c>
    </row>
    <row r="604" spans="1:11" ht="42" customHeight="1">
      <c r="A604" s="4" t="s">
        <v>1645</v>
      </c>
      <c r="B604" s="5" t="s">
        <v>1646</v>
      </c>
      <c r="C604" s="5" t="s">
        <v>57</v>
      </c>
      <c r="D604" s="5" t="s">
        <v>58</v>
      </c>
      <c r="E604" s="5" t="s">
        <v>264</v>
      </c>
      <c r="F604" s="9">
        <v>49</v>
      </c>
      <c r="G604" s="9">
        <v>542</v>
      </c>
      <c r="H604" s="5" t="s">
        <v>20</v>
      </c>
      <c r="I604" s="5" t="s">
        <v>1648</v>
      </c>
      <c r="J604" s="12" t="str">
        <f>HYPERLINK("https://www.boe.es/gazeta/dias/1804/06/19/pdfs/GMD-1804-49.pdf#page=4","Abrir facsímil")</f>
        <v>Abrir facsímil</v>
      </c>
      <c r="K604" s="15" t="s">
        <v>22</v>
      </c>
    </row>
    <row r="605" spans="1:11" ht="42" customHeight="1">
      <c r="A605" s="4" t="s">
        <v>1645</v>
      </c>
      <c r="B605" s="5" t="s">
        <v>1646</v>
      </c>
      <c r="C605" s="5" t="s">
        <v>57</v>
      </c>
      <c r="D605" s="5" t="s">
        <v>58</v>
      </c>
      <c r="E605" s="5" t="s">
        <v>1095</v>
      </c>
      <c r="F605" s="9">
        <v>73</v>
      </c>
      <c r="G605" s="9">
        <v>815</v>
      </c>
      <c r="H605" s="5" t="s">
        <v>20</v>
      </c>
      <c r="I605" s="5" t="s">
        <v>1649</v>
      </c>
      <c r="J605" s="12" t="str">
        <f>HYPERLINK("https://www.boe.es/gazeta/dias/1804/09/11/pdfs/GMD-1804-73.pdf#page=5","Abrir facsímil")</f>
        <v>Abrir facsímil</v>
      </c>
      <c r="K605" s="15" t="s">
        <v>22</v>
      </c>
    </row>
    <row r="606" spans="1:11" ht="42" customHeight="1">
      <c r="A606" s="4" t="s">
        <v>1645</v>
      </c>
      <c r="B606" s="5" t="s">
        <v>1646</v>
      </c>
      <c r="C606" s="5" t="s">
        <v>57</v>
      </c>
      <c r="D606" s="5" t="s">
        <v>58</v>
      </c>
      <c r="E606" s="5" t="s">
        <v>576</v>
      </c>
      <c r="F606" s="9">
        <v>85</v>
      </c>
      <c r="G606" s="9">
        <v>936</v>
      </c>
      <c r="H606" s="5" t="s">
        <v>20</v>
      </c>
      <c r="I606" s="5" t="s">
        <v>1650</v>
      </c>
      <c r="J606" s="12" t="str">
        <f>HYPERLINK("https://www.boe.es/gazeta/dias/1804/10/23/pdfs/GMD-1804-85.pdf#page=6","Abrir facsímil")</f>
        <v>Abrir facsímil</v>
      </c>
      <c r="K606" s="15" t="s">
        <v>22</v>
      </c>
    </row>
    <row r="607" spans="1:11" ht="42" customHeight="1">
      <c r="A607" s="4" t="s">
        <v>1651</v>
      </c>
      <c r="B607" s="5" t="s">
        <v>1652</v>
      </c>
      <c r="C607" s="5" t="s">
        <v>27</v>
      </c>
      <c r="D607" s="5" t="s">
        <v>28</v>
      </c>
      <c r="E607" s="5" t="s">
        <v>782</v>
      </c>
      <c r="F607" s="9">
        <v>75</v>
      </c>
      <c r="G607" s="9">
        <v>840</v>
      </c>
      <c r="H607" s="5" t="s">
        <v>20</v>
      </c>
      <c r="I607" s="5" t="s">
        <v>1653</v>
      </c>
      <c r="J607" s="12" t="str">
        <f>HYPERLINK("https://www.boe.es/gazeta/dias/1804/09/18/pdfs/GMD-1804-75.pdf#page=6","Abrir facsímil")</f>
        <v>Abrir facsímil</v>
      </c>
      <c r="K607" s="15" t="s">
        <v>22</v>
      </c>
    </row>
    <row r="608" spans="1:11" ht="42" customHeight="1">
      <c r="A608" s="4" t="s">
        <v>1654</v>
      </c>
      <c r="B608" s="5" t="s">
        <v>1655</v>
      </c>
      <c r="C608" s="5" t="s">
        <v>17</v>
      </c>
      <c r="D608" s="5" t="s">
        <v>18</v>
      </c>
      <c r="E608" s="5" t="s">
        <v>71</v>
      </c>
      <c r="F608" s="9">
        <v>99</v>
      </c>
      <c r="G608" s="9">
        <v>1106</v>
      </c>
      <c r="H608" s="5" t="s">
        <v>20</v>
      </c>
      <c r="I608" s="5" t="s">
        <v>1656</v>
      </c>
      <c r="J608" s="12" t="str">
        <f>HYPERLINK("https://www.boe.es/gazeta/dias/1804/12/11/pdfs/GMD-1804-99.pdf#page=6","Abrir facsímil")</f>
        <v>Abrir facsímil</v>
      </c>
      <c r="K608" s="15" t="s">
        <v>22</v>
      </c>
    </row>
    <row r="609" spans="1:11" ht="42" customHeight="1">
      <c r="A609" s="4" t="s">
        <v>1657</v>
      </c>
      <c r="B609" s="5" t="s">
        <v>1657</v>
      </c>
      <c r="C609" s="5" t="s">
        <v>85</v>
      </c>
      <c r="D609" s="5" t="s">
        <v>86</v>
      </c>
      <c r="E609" s="5" t="s">
        <v>59</v>
      </c>
      <c r="F609" s="9">
        <v>55</v>
      </c>
      <c r="G609" s="9">
        <v>614</v>
      </c>
      <c r="H609" s="5" t="s">
        <v>20</v>
      </c>
      <c r="I609" s="5" t="s">
        <v>1658</v>
      </c>
      <c r="J609" s="12" t="str">
        <f>HYPERLINK("https://www.boe.es/gazeta/dias/1804/07/10/pdfs/GMD-1804-55.pdf#page=12","Abrir facsímil")</f>
        <v>Abrir facsímil</v>
      </c>
      <c r="K609" s="15" t="s">
        <v>22</v>
      </c>
    </row>
    <row r="610" spans="1:11" ht="42" customHeight="1">
      <c r="A610" s="4" t="s">
        <v>1659</v>
      </c>
      <c r="B610" s="5" t="s">
        <v>1659</v>
      </c>
      <c r="C610" s="5" t="s">
        <v>27</v>
      </c>
      <c r="D610" s="5" t="s">
        <v>28</v>
      </c>
      <c r="E610" s="5" t="s">
        <v>666</v>
      </c>
      <c r="F610" s="9">
        <v>57</v>
      </c>
      <c r="G610" s="9">
        <v>633</v>
      </c>
      <c r="H610" s="5" t="s">
        <v>20</v>
      </c>
      <c r="I610" s="5" t="s">
        <v>1660</v>
      </c>
      <c r="J610" s="12" t="str">
        <f>HYPERLINK("https://www.boe.es/gazeta/dias/1804/07/17/pdfs/GMD-1804-57.pdf#page=11","Abrir facsímil")</f>
        <v>Abrir facsímil</v>
      </c>
      <c r="K610" s="15" t="s">
        <v>22</v>
      </c>
    </row>
    <row r="611" spans="1:11" ht="42" customHeight="1">
      <c r="A611" s="4" t="s">
        <v>1661</v>
      </c>
      <c r="B611" s="5" t="s">
        <v>1661</v>
      </c>
      <c r="C611" s="5" t="s">
        <v>85</v>
      </c>
      <c r="D611" s="5" t="s">
        <v>86</v>
      </c>
      <c r="E611" s="5" t="s">
        <v>272</v>
      </c>
      <c r="F611" s="9">
        <v>30</v>
      </c>
      <c r="G611" s="9">
        <v>334</v>
      </c>
      <c r="H611" s="5" t="s">
        <v>20</v>
      </c>
      <c r="I611" s="5" t="s">
        <v>1662</v>
      </c>
      <c r="J611" s="12" t="str">
        <f>HYPERLINK("https://www.boe.es/gazeta/dias/1804/04/13/pdfs/GMD-1804-30.pdf#page=12","Abrir facsímil")</f>
        <v>Abrir facsímil</v>
      </c>
      <c r="K611" s="15" t="s">
        <v>22</v>
      </c>
    </row>
    <row r="612" spans="1:11" ht="42" customHeight="1">
      <c r="A612" s="4" t="s">
        <v>1663</v>
      </c>
      <c r="B612" s="5" t="s">
        <v>1664</v>
      </c>
      <c r="C612" s="5" t="s">
        <v>27</v>
      </c>
      <c r="D612" s="5" t="s">
        <v>28</v>
      </c>
      <c r="E612" s="5" t="s">
        <v>298</v>
      </c>
      <c r="F612" s="9">
        <v>10</v>
      </c>
      <c r="G612" s="9">
        <v>109</v>
      </c>
      <c r="H612" s="5" t="s">
        <v>20</v>
      </c>
      <c r="I612" s="5" t="s">
        <v>1665</v>
      </c>
      <c r="J612" s="12" t="str">
        <f>HYPERLINK("https://www.boe.es/gazeta/dias/1804/02/03/pdfs/GMD-1804-10.pdf#page=9","Abrir facsímil")</f>
        <v>Abrir facsímil</v>
      </c>
      <c r="K612" s="15" t="s">
        <v>22</v>
      </c>
    </row>
    <row r="613" spans="1:11" ht="42" customHeight="1">
      <c r="A613" s="4" t="s">
        <v>1666</v>
      </c>
      <c r="B613" s="5" t="s">
        <v>1667</v>
      </c>
      <c r="C613" s="5" t="s">
        <v>17</v>
      </c>
      <c r="D613" s="5" t="s">
        <v>18</v>
      </c>
      <c r="E613" s="5" t="s">
        <v>132</v>
      </c>
      <c r="F613" s="9">
        <v>52</v>
      </c>
      <c r="G613" s="9">
        <v>576</v>
      </c>
      <c r="H613" s="5" t="s">
        <v>20</v>
      </c>
      <c r="I613" s="5" t="s">
        <v>1668</v>
      </c>
      <c r="J613" s="12" t="str">
        <f>HYPERLINK("https://www.boe.es/gazeta/dias/1804/06/29/pdfs/GMD-1804-52.pdf#page=10","Abrir facsímil")</f>
        <v>Abrir facsímil</v>
      </c>
      <c r="K613" s="15" t="s">
        <v>22</v>
      </c>
    </row>
    <row r="614" spans="1:11" ht="42" customHeight="1">
      <c r="A614" s="4" t="s">
        <v>1666</v>
      </c>
      <c r="B614" s="5" t="s">
        <v>1667</v>
      </c>
      <c r="C614" s="5" t="s">
        <v>198</v>
      </c>
      <c r="D614" s="5" t="s">
        <v>66</v>
      </c>
      <c r="E614" s="5" t="s">
        <v>175</v>
      </c>
      <c r="F614" s="9">
        <v>58</v>
      </c>
      <c r="G614" s="9">
        <v>645</v>
      </c>
      <c r="H614" s="5" t="s">
        <v>20</v>
      </c>
      <c r="I614" s="5" t="s">
        <v>1669</v>
      </c>
      <c r="J614" s="12" t="str">
        <f>HYPERLINK("https://www.boe.es/gazeta/dias/1804/07/20/pdfs/GMD-1804-58.pdf#page=11","Abrir facsímil")</f>
        <v>Abrir facsímil</v>
      </c>
      <c r="K614" s="15" t="s">
        <v>22</v>
      </c>
    </row>
    <row r="615" spans="1:11" ht="42" customHeight="1">
      <c r="A615" s="4" t="s">
        <v>1666</v>
      </c>
      <c r="B615" s="5" t="s">
        <v>1667</v>
      </c>
      <c r="C615" s="5" t="s">
        <v>198</v>
      </c>
      <c r="D615" s="5" t="s">
        <v>66</v>
      </c>
      <c r="E615" s="5" t="s">
        <v>241</v>
      </c>
      <c r="F615" s="9">
        <v>71</v>
      </c>
      <c r="G615" s="9">
        <v>793</v>
      </c>
      <c r="H615" s="5" t="s">
        <v>20</v>
      </c>
      <c r="I615" s="5" t="s">
        <v>1670</v>
      </c>
      <c r="J615" s="12" t="str">
        <f>HYPERLINK("https://www.boe.es/gazeta/dias/1804/09/04/pdfs/GMD-1804-71.pdf#page=7","Abrir facsímil")</f>
        <v>Abrir facsímil</v>
      </c>
      <c r="K615" s="15" t="s">
        <v>22</v>
      </c>
    </row>
    <row r="616" spans="1:11" ht="42" customHeight="1">
      <c r="A616" s="4" t="s">
        <v>1666</v>
      </c>
      <c r="B616" s="5" t="s">
        <v>1667</v>
      </c>
      <c r="C616" s="5" t="s">
        <v>27</v>
      </c>
      <c r="D616" s="5" t="s">
        <v>28</v>
      </c>
      <c r="E616" s="5" t="s">
        <v>212</v>
      </c>
      <c r="F616" s="9">
        <v>89</v>
      </c>
      <c r="G616" s="9">
        <v>991</v>
      </c>
      <c r="H616" s="5" t="s">
        <v>20</v>
      </c>
      <c r="I616" s="5" t="s">
        <v>1671</v>
      </c>
      <c r="J616" s="12" t="str">
        <f>HYPERLINK("https://www.boe.es/gazeta/dias/1804/11/06/pdfs/GMD-1804-89.pdf#page=11","Abrir facsímil")</f>
        <v>Abrir facsímil</v>
      </c>
      <c r="K616" s="15" t="s">
        <v>22</v>
      </c>
    </row>
    <row r="617" spans="1:11" ht="42" customHeight="1">
      <c r="A617" s="4" t="s">
        <v>1666</v>
      </c>
      <c r="B617" s="5" t="s">
        <v>1667</v>
      </c>
      <c r="C617" s="5" t="s">
        <v>198</v>
      </c>
      <c r="D617" s="5" t="s">
        <v>66</v>
      </c>
      <c r="E617" s="5" t="s">
        <v>308</v>
      </c>
      <c r="F617" s="9">
        <v>96</v>
      </c>
      <c r="G617" s="9">
        <v>1070</v>
      </c>
      <c r="H617" s="5" t="s">
        <v>20</v>
      </c>
      <c r="I617" s="5" t="s">
        <v>1672</v>
      </c>
      <c r="J617" s="12" t="str">
        <f>HYPERLINK("https://www.boe.es/gazeta/dias/1804/11/30/pdfs/GMD-1804-96.pdf#page=10","Abrir facsímil")</f>
        <v>Abrir facsímil</v>
      </c>
      <c r="K617" s="15" t="s">
        <v>22</v>
      </c>
    </row>
    <row r="618" spans="1:11" ht="42" customHeight="1">
      <c r="A618" s="4" t="s">
        <v>1673</v>
      </c>
      <c r="B618" s="5" t="s">
        <v>1674</v>
      </c>
      <c r="C618" s="5" t="s">
        <v>27</v>
      </c>
      <c r="D618" s="5" t="s">
        <v>28</v>
      </c>
      <c r="E618" s="5" t="s">
        <v>91</v>
      </c>
      <c r="F618" s="9">
        <v>72</v>
      </c>
      <c r="G618" s="9">
        <v>806</v>
      </c>
      <c r="H618" s="5" t="s">
        <v>20</v>
      </c>
      <c r="I618" s="5" t="s">
        <v>1675</v>
      </c>
      <c r="J618" s="12" t="str">
        <f>HYPERLINK("https://www.boe.es/gazeta/dias/1804/09/07/pdfs/GMD-1804-72.pdf#page=8","Abrir facsímil")</f>
        <v>Abrir facsímil</v>
      </c>
      <c r="K618" s="15" t="s">
        <v>22</v>
      </c>
    </row>
    <row r="619" spans="1:11" ht="42" customHeight="1">
      <c r="A619" s="4" t="s">
        <v>1676</v>
      </c>
      <c r="B619" s="5" t="s">
        <v>1677</v>
      </c>
      <c r="C619" s="5" t="s">
        <v>120</v>
      </c>
      <c r="D619" s="5" t="s">
        <v>121</v>
      </c>
      <c r="E619" s="5" t="s">
        <v>33</v>
      </c>
      <c r="F619" s="9">
        <v>48</v>
      </c>
      <c r="G619" s="9" t="s">
        <v>122</v>
      </c>
      <c r="H619" s="5" t="s">
        <v>20</v>
      </c>
      <c r="I619" s="5" t="s">
        <v>1678</v>
      </c>
      <c r="J619" s="12" t="str">
        <f>HYPERLINK("https://www.boe.es/gazeta/dias/1804/06/15/pdfs/GMD-C-1804-48.pdf#page=3","Abrir facsímil")</f>
        <v>Abrir facsímil</v>
      </c>
      <c r="K619" s="15" t="s">
        <v>22</v>
      </c>
    </row>
    <row r="620" spans="1:11" ht="42" customHeight="1">
      <c r="A620" s="4" t="s">
        <v>1679</v>
      </c>
      <c r="B620" s="5" t="s">
        <v>1680</v>
      </c>
      <c r="C620" s="5" t="s">
        <v>120</v>
      </c>
      <c r="D620" s="5" t="s">
        <v>121</v>
      </c>
      <c r="E620" s="5" t="s">
        <v>33</v>
      </c>
      <c r="F620" s="9">
        <v>48</v>
      </c>
      <c r="G620" s="9" t="s">
        <v>98</v>
      </c>
      <c r="H620" s="5" t="s">
        <v>20</v>
      </c>
      <c r="I620" s="5" t="s">
        <v>1681</v>
      </c>
      <c r="J620" s="12" t="str">
        <f>HYPERLINK("https://www.boe.es/gazeta/dias/1804/06/15/pdfs/GMD-C-1804-48.pdf#page=1","Abrir facsímil")</f>
        <v>Abrir facsímil</v>
      </c>
      <c r="K620" s="15" t="s">
        <v>22</v>
      </c>
    </row>
    <row r="621" spans="1:11" ht="42" customHeight="1">
      <c r="A621" s="4" t="s">
        <v>1682</v>
      </c>
      <c r="B621" s="5" t="s">
        <v>1683</v>
      </c>
      <c r="C621" s="5" t="s">
        <v>120</v>
      </c>
      <c r="D621" s="5" t="s">
        <v>121</v>
      </c>
      <c r="E621" s="5" t="s">
        <v>33</v>
      </c>
      <c r="F621" s="9">
        <v>48</v>
      </c>
      <c r="G621" s="9" t="s">
        <v>122</v>
      </c>
      <c r="H621" s="5" t="s">
        <v>20</v>
      </c>
      <c r="I621" s="5" t="s">
        <v>1684</v>
      </c>
      <c r="J621" s="12" t="str">
        <f>HYPERLINK("https://www.boe.es/gazeta/dias/1804/06/15/pdfs/GMD-C-1804-48.pdf#page=3","Abrir facsímil")</f>
        <v>Abrir facsímil</v>
      </c>
      <c r="K621" s="15" t="s">
        <v>22</v>
      </c>
    </row>
    <row r="622" spans="1:11" ht="42" customHeight="1">
      <c r="A622" s="4" t="s">
        <v>1685</v>
      </c>
      <c r="B622" s="5" t="s">
        <v>1686</v>
      </c>
      <c r="C622" s="5" t="s">
        <v>27</v>
      </c>
      <c r="D622" s="5" t="s">
        <v>28</v>
      </c>
      <c r="E622" s="5" t="s">
        <v>81</v>
      </c>
      <c r="F622" s="9">
        <v>98</v>
      </c>
      <c r="G622" s="9">
        <v>1089</v>
      </c>
      <c r="H622" s="5" t="s">
        <v>20</v>
      </c>
      <c r="I622" s="5" t="s">
        <v>1687</v>
      </c>
      <c r="J622" s="12" t="str">
        <f>HYPERLINK("https://www.boe.es/gazeta/dias/1804/12/07/pdfs/GMD-1804-98.pdf#page=5","Abrir facsímil")</f>
        <v>Abrir facsímil</v>
      </c>
      <c r="K622" s="15" t="s">
        <v>22</v>
      </c>
    </row>
    <row r="623" spans="1:11" ht="42" customHeight="1">
      <c r="A623" s="4" t="s">
        <v>1688</v>
      </c>
      <c r="B623" s="5" t="s">
        <v>1689</v>
      </c>
      <c r="C623" s="5" t="s">
        <v>17</v>
      </c>
      <c r="D623" s="5" t="s">
        <v>18</v>
      </c>
      <c r="E623" s="5" t="s">
        <v>258</v>
      </c>
      <c r="F623" s="9">
        <v>14</v>
      </c>
      <c r="G623" s="9">
        <v>153</v>
      </c>
      <c r="H623" s="5" t="s">
        <v>20</v>
      </c>
      <c r="I623" s="5" t="s">
        <v>1690</v>
      </c>
      <c r="J623" s="12" t="str">
        <f>HYPERLINK("https://www.boe.es/gazeta/dias/1804/02/17/pdfs/GMD-1804-14.pdf#page=9","Abrir facsímil")</f>
        <v>Abrir facsímil</v>
      </c>
      <c r="K623" s="15" t="s">
        <v>22</v>
      </c>
    </row>
    <row r="624" spans="1:11" ht="42" customHeight="1">
      <c r="A624" s="4" t="s">
        <v>1691</v>
      </c>
      <c r="B624" s="5" t="s">
        <v>1692</v>
      </c>
      <c r="C624" s="5" t="s">
        <v>17</v>
      </c>
      <c r="D624" s="5" t="s">
        <v>18</v>
      </c>
      <c r="E624" s="5" t="s">
        <v>800</v>
      </c>
      <c r="F624" s="9">
        <v>45</v>
      </c>
      <c r="G624" s="9">
        <v>500</v>
      </c>
      <c r="H624" s="5" t="s">
        <v>20</v>
      </c>
      <c r="I624" s="5" t="s">
        <v>1693</v>
      </c>
      <c r="J624" s="12" t="str">
        <f>HYPERLINK("https://www.boe.es/gazeta/dias/1804/06/05/pdfs/GMD-1804-45.pdf#page=10","Abrir facsímil")</f>
        <v>Abrir facsímil</v>
      </c>
      <c r="K624" s="15" t="s">
        <v>22</v>
      </c>
    </row>
    <row r="625" spans="1:11" ht="42" customHeight="1">
      <c r="A625" s="4" t="s">
        <v>1694</v>
      </c>
      <c r="B625" s="5" t="s">
        <v>1695</v>
      </c>
      <c r="C625" s="5" t="s">
        <v>120</v>
      </c>
      <c r="D625" s="5" t="s">
        <v>121</v>
      </c>
      <c r="E625" s="5" t="s">
        <v>33</v>
      </c>
      <c r="F625" s="9">
        <v>48</v>
      </c>
      <c r="G625" s="9" t="s">
        <v>122</v>
      </c>
      <c r="H625" s="5" t="s">
        <v>20</v>
      </c>
      <c r="I625" s="5" t="s">
        <v>1696</v>
      </c>
      <c r="J625" s="12" t="str">
        <f>HYPERLINK("https://www.boe.es/gazeta/dias/1804/06/15/pdfs/GMD-C-1804-48.pdf#page=3","Abrir facsímil")</f>
        <v>Abrir facsímil</v>
      </c>
      <c r="K625" s="15" t="s">
        <v>22</v>
      </c>
    </row>
    <row r="626" spans="1:11" ht="42" customHeight="1">
      <c r="A626" s="4" t="s">
        <v>1697</v>
      </c>
      <c r="B626" s="5" t="s">
        <v>1698</v>
      </c>
      <c r="C626" s="5" t="s">
        <v>57</v>
      </c>
      <c r="D626" s="5" t="s">
        <v>58</v>
      </c>
      <c r="E626" s="5" t="s">
        <v>538</v>
      </c>
      <c r="F626" s="9">
        <v>27</v>
      </c>
      <c r="G626" s="9">
        <v>295</v>
      </c>
      <c r="H626" s="5" t="s">
        <v>20</v>
      </c>
      <c r="I626" s="5" t="s">
        <v>1699</v>
      </c>
      <c r="J626" s="12" t="str">
        <f>HYPERLINK("https://www.boe.es/gazeta/dias/1804/04/03/pdfs/GMD-1804-27.pdf#page=1","Abrir facsímil")</f>
        <v>Abrir facsímil</v>
      </c>
      <c r="K626" s="15" t="s">
        <v>22</v>
      </c>
    </row>
    <row r="627" spans="1:11" ht="42" customHeight="1">
      <c r="A627" s="4" t="s">
        <v>1700</v>
      </c>
      <c r="B627" s="5" t="s">
        <v>1701</v>
      </c>
      <c r="C627" s="5" t="s">
        <v>27</v>
      </c>
      <c r="D627" s="5" t="s">
        <v>28</v>
      </c>
      <c r="E627" s="5" t="s">
        <v>800</v>
      </c>
      <c r="F627" s="9">
        <v>45</v>
      </c>
      <c r="G627" s="9">
        <v>491</v>
      </c>
      <c r="H627" s="5" t="s">
        <v>20</v>
      </c>
      <c r="I627" s="5" t="s">
        <v>1702</v>
      </c>
      <c r="J627" s="12" t="str">
        <f>HYPERLINK("https://www.boe.es/gazeta/dias/1804/06/05/pdfs/GMD-1804-45.pdf#page=1","Abrir facsímil")</f>
        <v>Abrir facsímil</v>
      </c>
      <c r="K627" s="15" t="s">
        <v>22</v>
      </c>
    </row>
    <row r="628" spans="1:11" ht="42" customHeight="1">
      <c r="A628" s="4" t="s">
        <v>1703</v>
      </c>
      <c r="B628" s="5" t="s">
        <v>1704</v>
      </c>
      <c r="C628" s="5" t="s">
        <v>57</v>
      </c>
      <c r="D628" s="5" t="s">
        <v>58</v>
      </c>
      <c r="E628" s="5" t="s">
        <v>320</v>
      </c>
      <c r="F628" s="9">
        <v>31</v>
      </c>
      <c r="G628" s="9">
        <v>340</v>
      </c>
      <c r="H628" s="5" t="s">
        <v>20</v>
      </c>
      <c r="I628" s="5" t="s">
        <v>1705</v>
      </c>
      <c r="J628" s="12" t="str">
        <f>HYPERLINK("https://www.boe.es/gazeta/dias/1804/04/17/pdfs/GMD-1804-31.pdf#page=6","Abrir facsímil")</f>
        <v>Abrir facsímil</v>
      </c>
      <c r="K628" s="15" t="s">
        <v>22</v>
      </c>
    </row>
    <row r="629" spans="1:11" ht="42" customHeight="1">
      <c r="A629" s="4" t="s">
        <v>1706</v>
      </c>
      <c r="B629" s="5" t="s">
        <v>1707</v>
      </c>
      <c r="C629" s="5" t="s">
        <v>57</v>
      </c>
      <c r="D629" s="5" t="s">
        <v>58</v>
      </c>
      <c r="E629" s="5" t="s">
        <v>59</v>
      </c>
      <c r="F629" s="9">
        <v>55</v>
      </c>
      <c r="G629" s="9">
        <v>605</v>
      </c>
      <c r="H629" s="5" t="s">
        <v>20</v>
      </c>
      <c r="I629" s="5" t="s">
        <v>1708</v>
      </c>
      <c r="J629" s="12" t="str">
        <f>HYPERLINK("https://www.boe.es/gazeta/dias/1804/07/10/pdfs/GMD-1804-55.pdf#page=3","Abrir facsímil")</f>
        <v>Abrir facsímil</v>
      </c>
      <c r="K629" s="15" t="s">
        <v>22</v>
      </c>
    </row>
    <row r="630" spans="1:11" ht="42" customHeight="1">
      <c r="A630" s="4" t="s">
        <v>1706</v>
      </c>
      <c r="B630" s="5" t="s">
        <v>1707</v>
      </c>
      <c r="C630" s="5" t="s">
        <v>57</v>
      </c>
      <c r="D630" s="5" t="s">
        <v>58</v>
      </c>
      <c r="E630" s="5" t="s">
        <v>61</v>
      </c>
      <c r="F630" s="9">
        <v>61</v>
      </c>
      <c r="G630" s="9">
        <v>675</v>
      </c>
      <c r="H630" s="5" t="s">
        <v>20</v>
      </c>
      <c r="I630" s="5" t="s">
        <v>1709</v>
      </c>
      <c r="J630" s="12" t="str">
        <f>HYPERLINK("https://www.boe.es/gazeta/dias/1804/07/31/pdfs/GMD-1804-61.pdf#page=5","Abrir facsímil")</f>
        <v>Abrir facsímil</v>
      </c>
      <c r="K630" s="15" t="s">
        <v>22</v>
      </c>
    </row>
    <row r="631" spans="1:11" ht="42" customHeight="1">
      <c r="A631" s="4" t="s">
        <v>1706</v>
      </c>
      <c r="B631" s="5" t="s">
        <v>1707</v>
      </c>
      <c r="C631" s="5" t="s">
        <v>65</v>
      </c>
      <c r="D631" s="5" t="s">
        <v>66</v>
      </c>
      <c r="E631" s="5" t="s">
        <v>54</v>
      </c>
      <c r="F631" s="9">
        <v>63</v>
      </c>
      <c r="G631" s="9">
        <v>697</v>
      </c>
      <c r="H631" s="5" t="s">
        <v>20</v>
      </c>
      <c r="I631" s="5" t="s">
        <v>1710</v>
      </c>
      <c r="J631" s="12" t="str">
        <f>HYPERLINK("https://www.boe.es/gazeta/dias/1804/08/07/pdfs/GMD-1804-63.pdf#page=7","Abrir facsímil")</f>
        <v>Abrir facsímil</v>
      </c>
      <c r="K631" s="15" t="s">
        <v>22</v>
      </c>
    </row>
    <row r="632" spans="1:11" ht="42" customHeight="1">
      <c r="A632" s="4" t="s">
        <v>1706</v>
      </c>
      <c r="B632" s="5" t="s">
        <v>1707</v>
      </c>
      <c r="C632" s="5" t="s">
        <v>198</v>
      </c>
      <c r="D632" s="5" t="s">
        <v>66</v>
      </c>
      <c r="E632" s="5" t="s">
        <v>490</v>
      </c>
      <c r="F632" s="9">
        <v>100</v>
      </c>
      <c r="G632" s="9">
        <v>1115</v>
      </c>
      <c r="H632" s="5" t="s">
        <v>20</v>
      </c>
      <c r="I632" s="5" t="s">
        <v>1711</v>
      </c>
      <c r="J632" s="12" t="str">
        <f>HYPERLINK("https://www.boe.es/gazeta/dias/1804/12/14/pdfs/GMD-1804-100.pdf#page=7","Abrir facsímil")</f>
        <v>Abrir facsímil</v>
      </c>
      <c r="K632" s="15" t="s">
        <v>22</v>
      </c>
    </row>
    <row r="633" spans="1:11" ht="42" customHeight="1">
      <c r="A633" s="4" t="s">
        <v>1712</v>
      </c>
      <c r="B633" s="5" t="s">
        <v>1713</v>
      </c>
      <c r="C633" s="5" t="s">
        <v>57</v>
      </c>
      <c r="D633" s="5" t="s">
        <v>58</v>
      </c>
      <c r="E633" s="5" t="s">
        <v>23</v>
      </c>
      <c r="F633" s="9">
        <v>91</v>
      </c>
      <c r="G633" s="9">
        <v>1006</v>
      </c>
      <c r="H633" s="5" t="s">
        <v>20</v>
      </c>
      <c r="I633" s="5" t="s">
        <v>1714</v>
      </c>
      <c r="J633" s="12" t="str">
        <f>HYPERLINK("https://www.boe.es/gazeta/dias/1804/11/13/pdfs/GMD-1804-91.pdf#page=6","Abrir facsímil")</f>
        <v>Abrir facsímil</v>
      </c>
      <c r="K633" s="15" t="s">
        <v>22</v>
      </c>
    </row>
    <row r="634" spans="1:11" ht="42" customHeight="1">
      <c r="A634" s="4" t="s">
        <v>1715</v>
      </c>
      <c r="B634" s="5" t="s">
        <v>1715</v>
      </c>
      <c r="C634" s="5" t="s">
        <v>27</v>
      </c>
      <c r="D634" s="5" t="s">
        <v>28</v>
      </c>
      <c r="E634" s="5" t="s">
        <v>109</v>
      </c>
      <c r="F634" s="9">
        <v>35</v>
      </c>
      <c r="G634" s="9">
        <v>385</v>
      </c>
      <c r="H634" s="5" t="s">
        <v>20</v>
      </c>
      <c r="I634" s="5" t="s">
        <v>1716</v>
      </c>
      <c r="J634" s="12" t="str">
        <f>HYPERLINK("https://www.boe.es/gazeta/dias/1804/05/01/pdfs/GMD-1804-35.pdf#page=7","Abrir facsímil")</f>
        <v>Abrir facsímil</v>
      </c>
      <c r="K634" s="15" t="s">
        <v>22</v>
      </c>
    </row>
    <row r="635" spans="1:11" ht="42" customHeight="1">
      <c r="A635" s="4" t="s">
        <v>1717</v>
      </c>
      <c r="B635" s="5" t="s">
        <v>1718</v>
      </c>
      <c r="C635" s="5" t="s">
        <v>27</v>
      </c>
      <c r="D635" s="5" t="s">
        <v>28</v>
      </c>
      <c r="E635" s="5" t="s">
        <v>800</v>
      </c>
      <c r="F635" s="9">
        <v>45</v>
      </c>
      <c r="G635" s="9">
        <v>500</v>
      </c>
      <c r="H635" s="5" t="s">
        <v>20</v>
      </c>
      <c r="I635" s="5" t="s">
        <v>1719</v>
      </c>
      <c r="J635" s="12" t="str">
        <f>HYPERLINK("https://www.boe.es/gazeta/dias/1804/06/05/pdfs/GMD-1804-45.pdf#page=10","Abrir facsímil")</f>
        <v>Abrir facsímil</v>
      </c>
      <c r="K635" s="15" t="s">
        <v>22</v>
      </c>
    </row>
    <row r="636" spans="1:11" ht="42" customHeight="1">
      <c r="A636" s="4" t="s">
        <v>1720</v>
      </c>
      <c r="B636" s="5" t="s">
        <v>1721</v>
      </c>
      <c r="C636" s="5" t="s">
        <v>27</v>
      </c>
      <c r="D636" s="5" t="s">
        <v>28</v>
      </c>
      <c r="E636" s="5" t="s">
        <v>678</v>
      </c>
      <c r="F636" s="9">
        <v>104</v>
      </c>
      <c r="G636" s="9">
        <v>1162</v>
      </c>
      <c r="H636" s="5" t="s">
        <v>20</v>
      </c>
      <c r="I636" s="5" t="s">
        <v>1722</v>
      </c>
      <c r="J636" s="12" t="str">
        <f>HYPERLINK("https://www.boe.es/gazeta/dias/1804/12/28/pdfs/GMD-1804-104.pdf#page=10","Abrir facsímil")</f>
        <v>Abrir facsímil</v>
      </c>
      <c r="K636" s="15" t="s">
        <v>22</v>
      </c>
    </row>
    <row r="637" spans="1:11" ht="42" customHeight="1">
      <c r="A637" s="4" t="s">
        <v>1723</v>
      </c>
      <c r="B637" s="5" t="s">
        <v>1724</v>
      </c>
      <c r="C637" s="5" t="s">
        <v>27</v>
      </c>
      <c r="D637" s="5" t="s">
        <v>28</v>
      </c>
      <c r="E637" s="5" t="s">
        <v>388</v>
      </c>
      <c r="F637" s="9">
        <v>18</v>
      </c>
      <c r="G637" s="9">
        <v>198</v>
      </c>
      <c r="H637" s="5" t="s">
        <v>20</v>
      </c>
      <c r="I637" s="5" t="s">
        <v>1725</v>
      </c>
      <c r="J637" s="12" t="str">
        <f>HYPERLINK("https://www.boe.es/gazeta/dias/1804/03/02/pdfs/GMD-1804-18.pdf#page=10","Abrir facsímil")</f>
        <v>Abrir facsímil</v>
      </c>
      <c r="K637" s="15" t="s">
        <v>22</v>
      </c>
    </row>
    <row r="638" spans="1:11" ht="42" customHeight="1">
      <c r="A638" s="4" t="s">
        <v>1726</v>
      </c>
      <c r="B638" s="5" t="s">
        <v>1727</v>
      </c>
      <c r="C638" s="5" t="s">
        <v>85</v>
      </c>
      <c r="D638" s="5" t="s">
        <v>86</v>
      </c>
      <c r="E638" s="5" t="s">
        <v>547</v>
      </c>
      <c r="F638" s="9">
        <v>68</v>
      </c>
      <c r="G638" s="9">
        <v>766</v>
      </c>
      <c r="H638" s="5" t="s">
        <v>20</v>
      </c>
      <c r="I638" s="5" t="s">
        <v>1728</v>
      </c>
      <c r="J638" s="12" t="str">
        <f>HYPERLINK("https://www.boe.es/gazeta/dias/1804/08/24/pdfs/GMD-1804-68.pdf#page=12","Abrir facsímil")</f>
        <v>Abrir facsímil</v>
      </c>
      <c r="K638" s="15" t="s">
        <v>22</v>
      </c>
    </row>
    <row r="639" spans="1:11" ht="42" customHeight="1">
      <c r="A639" s="4" t="s">
        <v>1729</v>
      </c>
      <c r="B639" s="5" t="s">
        <v>1730</v>
      </c>
      <c r="C639" s="5" t="s">
        <v>27</v>
      </c>
      <c r="D639" s="5" t="s">
        <v>28</v>
      </c>
      <c r="E639" s="5" t="s">
        <v>308</v>
      </c>
      <c r="F639" s="9">
        <v>96</v>
      </c>
      <c r="G639" s="9">
        <v>1068</v>
      </c>
      <c r="H639" s="5" t="s">
        <v>20</v>
      </c>
      <c r="I639" s="5" t="s">
        <v>1731</v>
      </c>
      <c r="J639" s="12" t="str">
        <f>HYPERLINK("https://www.boe.es/gazeta/dias/1804/11/30/pdfs/GMD-1804-96.pdf#page=8","Abrir facsímil")</f>
        <v>Abrir facsímil</v>
      </c>
      <c r="K639" s="15" t="s">
        <v>22</v>
      </c>
    </row>
    <row r="640" spans="1:11" ht="42" customHeight="1">
      <c r="A640" s="4" t="s">
        <v>1732</v>
      </c>
      <c r="B640" s="5" t="s">
        <v>1733</v>
      </c>
      <c r="C640" s="5" t="s">
        <v>17</v>
      </c>
      <c r="D640" s="5" t="s">
        <v>18</v>
      </c>
      <c r="E640" s="5" t="s">
        <v>736</v>
      </c>
      <c r="F640" s="9">
        <v>83</v>
      </c>
      <c r="G640" s="9">
        <v>922</v>
      </c>
      <c r="H640" s="5" t="s">
        <v>20</v>
      </c>
      <c r="I640" s="5" t="s">
        <v>1734</v>
      </c>
      <c r="J640" s="12" t="str">
        <f>HYPERLINK("https://www.boe.es/gazeta/dias/1804/10/16/pdfs/GMD-1804-83.pdf#page=12","Abrir facsímil")</f>
        <v>Abrir facsímil</v>
      </c>
      <c r="K640" s="15" t="s">
        <v>22</v>
      </c>
    </row>
    <row r="641" spans="1:11" ht="42" customHeight="1">
      <c r="A641" s="4" t="s">
        <v>1735</v>
      </c>
      <c r="B641" s="5" t="s">
        <v>1736</v>
      </c>
      <c r="C641" s="5" t="s">
        <v>27</v>
      </c>
      <c r="D641" s="5" t="s">
        <v>28</v>
      </c>
      <c r="E641" s="5" t="s">
        <v>212</v>
      </c>
      <c r="F641" s="9">
        <v>89</v>
      </c>
      <c r="G641" s="9">
        <v>990</v>
      </c>
      <c r="H641" s="5" t="s">
        <v>20</v>
      </c>
      <c r="I641" s="5" t="s">
        <v>1737</v>
      </c>
      <c r="J641" s="12" t="str">
        <f>HYPERLINK("https://www.boe.es/gazeta/dias/1804/11/06/pdfs/GMD-1804-89.pdf#page=10","Abrir facsímil")</f>
        <v>Abrir facsímil</v>
      </c>
      <c r="K641" s="15" t="s">
        <v>22</v>
      </c>
    </row>
    <row r="642" spans="1:11" ht="42" customHeight="1">
      <c r="A642" s="4" t="s">
        <v>1738</v>
      </c>
      <c r="B642" s="5" t="s">
        <v>1739</v>
      </c>
      <c r="C642" s="5" t="s">
        <v>85</v>
      </c>
      <c r="D642" s="5" t="s">
        <v>86</v>
      </c>
      <c r="E642" s="5" t="s">
        <v>326</v>
      </c>
      <c r="F642" s="9">
        <v>69</v>
      </c>
      <c r="G642" s="9">
        <v>777</v>
      </c>
      <c r="H642" s="5" t="s">
        <v>20</v>
      </c>
      <c r="I642" s="5" t="s">
        <v>1740</v>
      </c>
      <c r="J642" s="12" t="str">
        <f>HYPERLINK("https://www.boe.es/gazeta/dias/1804/08/28/pdfs/GMD-1804-69.pdf#page=11","Abrir facsímil")</f>
        <v>Abrir facsímil</v>
      </c>
      <c r="K642" s="15" t="s">
        <v>22</v>
      </c>
    </row>
    <row r="643" spans="1:11" ht="42" customHeight="1">
      <c r="A643" s="4" t="s">
        <v>1741</v>
      </c>
      <c r="B643" s="5" t="s">
        <v>1742</v>
      </c>
      <c r="C643" s="5" t="s">
        <v>27</v>
      </c>
      <c r="D643" s="5" t="s">
        <v>28</v>
      </c>
      <c r="E643" s="5" t="s">
        <v>159</v>
      </c>
      <c r="F643" s="9">
        <v>15</v>
      </c>
      <c r="G643" s="9">
        <v>163</v>
      </c>
      <c r="H643" s="5" t="s">
        <v>20</v>
      </c>
      <c r="I643" s="5" t="s">
        <v>1743</v>
      </c>
      <c r="J643" s="12" t="str">
        <f>HYPERLINK("https://www.boe.es/gazeta/dias/1804/02/21/pdfs/GMD-1804-15.pdf#page=7","Abrir facsímil")</f>
        <v>Abrir facsímil</v>
      </c>
      <c r="K643" s="15" t="s">
        <v>22</v>
      </c>
    </row>
    <row r="644" spans="1:11" ht="42" customHeight="1">
      <c r="A644" s="4" t="s">
        <v>1744</v>
      </c>
      <c r="B644" s="5" t="s">
        <v>1745</v>
      </c>
      <c r="C644" s="5" t="s">
        <v>57</v>
      </c>
      <c r="D644" s="5" t="s">
        <v>58</v>
      </c>
      <c r="E644" s="5" t="s">
        <v>800</v>
      </c>
      <c r="F644" s="9">
        <v>45</v>
      </c>
      <c r="G644" s="9">
        <v>495</v>
      </c>
      <c r="H644" s="5" t="s">
        <v>20</v>
      </c>
      <c r="I644" s="5" t="s">
        <v>1746</v>
      </c>
      <c r="J644" s="12" t="str">
        <f>HYPERLINK("https://www.boe.es/gazeta/dias/1804/06/05/pdfs/GMD-1804-45.pdf#page=5","Abrir facsímil")</f>
        <v>Abrir facsímil</v>
      </c>
      <c r="K644" s="15" t="s">
        <v>22</v>
      </c>
    </row>
    <row r="645" spans="1:11" ht="42" customHeight="1">
      <c r="A645" s="4" t="s">
        <v>1747</v>
      </c>
      <c r="B645" s="5" t="s">
        <v>1747</v>
      </c>
      <c r="C645" s="5" t="s">
        <v>85</v>
      </c>
      <c r="D645" s="5" t="s">
        <v>86</v>
      </c>
      <c r="E645" s="5" t="s">
        <v>75</v>
      </c>
      <c r="F645" s="9">
        <v>16</v>
      </c>
      <c r="G645" s="9">
        <v>175</v>
      </c>
      <c r="H645" s="5" t="s">
        <v>20</v>
      </c>
      <c r="I645" s="5" t="s">
        <v>1748</v>
      </c>
      <c r="J645" s="12" t="str">
        <f>HYPERLINK("https://www.boe.es/gazeta/dias/1804/02/24/pdfs/GMD-1804-16.pdf#page=11","Abrir facsímil")</f>
        <v>Abrir facsímil</v>
      </c>
      <c r="K645" s="15" t="s">
        <v>22</v>
      </c>
    </row>
    <row r="646" spans="1:11" ht="42" customHeight="1">
      <c r="A646" s="4" t="s">
        <v>1749</v>
      </c>
      <c r="B646" s="5" t="s">
        <v>1750</v>
      </c>
      <c r="C646" s="5" t="s">
        <v>27</v>
      </c>
      <c r="D646" s="5" t="s">
        <v>28</v>
      </c>
      <c r="E646" s="5" t="s">
        <v>147</v>
      </c>
      <c r="F646" s="9">
        <v>77</v>
      </c>
      <c r="G646" s="9">
        <v>862</v>
      </c>
      <c r="H646" s="5" t="s">
        <v>20</v>
      </c>
      <c r="I646" s="5" t="s">
        <v>1751</v>
      </c>
      <c r="J646" s="12" t="str">
        <f>HYPERLINK("https://www.boe.es/gazeta/dias/1804/09/25/pdfs/GMD-1804-77.pdf#page=12","Abrir facsímil")</f>
        <v>Abrir facsímil</v>
      </c>
      <c r="K646" s="15" t="s">
        <v>22</v>
      </c>
    </row>
    <row r="647" spans="1:11" ht="42" customHeight="1">
      <c r="A647" s="4" t="s">
        <v>1752</v>
      </c>
      <c r="B647" s="5" t="s">
        <v>1752</v>
      </c>
      <c r="C647" s="5" t="s">
        <v>85</v>
      </c>
      <c r="D647" s="5" t="s">
        <v>86</v>
      </c>
      <c r="E647" s="5" t="s">
        <v>339</v>
      </c>
      <c r="F647" s="9">
        <v>94</v>
      </c>
      <c r="G647" s="9">
        <v>1040</v>
      </c>
      <c r="H647" s="5" t="s">
        <v>20</v>
      </c>
      <c r="I647" s="5" t="s">
        <v>1753</v>
      </c>
      <c r="J647" s="12" t="str">
        <f>HYPERLINK("https://www.boe.es/gazeta/dias/1804/11/23/pdfs/GMD-1804-94.pdf#page=8","Abrir facsímil")</f>
        <v>Abrir facsímil</v>
      </c>
      <c r="K647" s="15" t="s">
        <v>22</v>
      </c>
    </row>
    <row r="648" spans="1:11" ht="42" customHeight="1">
      <c r="A648" s="4" t="s">
        <v>1754</v>
      </c>
      <c r="B648" s="5" t="s">
        <v>1754</v>
      </c>
      <c r="C648" s="5" t="s">
        <v>27</v>
      </c>
      <c r="D648" s="5" t="s">
        <v>28</v>
      </c>
      <c r="E648" s="5" t="s">
        <v>1020</v>
      </c>
      <c r="F648" s="9">
        <v>103</v>
      </c>
      <c r="G648" s="9">
        <v>1147</v>
      </c>
      <c r="H648" s="5" t="s">
        <v>20</v>
      </c>
      <c r="I648" s="5" t="s">
        <v>1755</v>
      </c>
      <c r="J648" s="12" t="str">
        <f>HYPERLINK("https://www.boe.es/gazeta/dias/1804/12/25/pdfs/GMD-1804-103.pdf#page=7","Abrir facsímil")</f>
        <v>Abrir facsímil</v>
      </c>
      <c r="K648" s="15" t="s">
        <v>22</v>
      </c>
    </row>
    <row r="649" spans="1:11" ht="42" customHeight="1">
      <c r="A649" s="4" t="s">
        <v>1756</v>
      </c>
      <c r="B649" s="5" t="s">
        <v>1756</v>
      </c>
      <c r="C649" s="5" t="s">
        <v>17</v>
      </c>
      <c r="D649" s="5" t="s">
        <v>18</v>
      </c>
      <c r="E649" s="5" t="s">
        <v>212</v>
      </c>
      <c r="F649" s="9">
        <v>89</v>
      </c>
      <c r="G649" s="9">
        <v>989</v>
      </c>
      <c r="H649" s="5" t="s">
        <v>20</v>
      </c>
      <c r="I649" s="5" t="s">
        <v>1757</v>
      </c>
      <c r="J649" s="12" t="str">
        <f>HYPERLINK("https://www.boe.es/gazeta/dias/1804/11/06/pdfs/GMD-1804-89.pdf#page=9","Abrir facsímil")</f>
        <v>Abrir facsímil</v>
      </c>
      <c r="K649" s="15" t="s">
        <v>22</v>
      </c>
    </row>
    <row r="650" spans="1:11" ht="42" customHeight="1">
      <c r="A650" s="4" t="s">
        <v>1758</v>
      </c>
      <c r="B650" s="5" t="s">
        <v>1759</v>
      </c>
      <c r="C650" s="5" t="s">
        <v>57</v>
      </c>
      <c r="D650" s="5" t="s">
        <v>58</v>
      </c>
      <c r="E650" s="5" t="s">
        <v>1449</v>
      </c>
      <c r="F650" s="9">
        <v>8</v>
      </c>
      <c r="G650" s="9">
        <v>82</v>
      </c>
      <c r="H650" s="5" t="s">
        <v>20</v>
      </c>
      <c r="I650" s="5" t="s">
        <v>1760</v>
      </c>
      <c r="J650" s="12" t="str">
        <f>HYPERLINK("https://www.boe.es/gazeta/dias/1804/01/27/pdfs/GMD-1804-8.pdf#page=6","Abrir facsímil")</f>
        <v>Abrir facsímil</v>
      </c>
      <c r="K650" s="15" t="s">
        <v>22</v>
      </c>
    </row>
    <row r="651" spans="1:11" ht="42" customHeight="1">
      <c r="A651" s="4" t="s">
        <v>1758</v>
      </c>
      <c r="B651" s="5" t="s">
        <v>1759</v>
      </c>
      <c r="C651" s="5" t="s">
        <v>57</v>
      </c>
      <c r="D651" s="5" t="s">
        <v>58</v>
      </c>
      <c r="E651" s="5" t="s">
        <v>704</v>
      </c>
      <c r="F651" s="9">
        <v>36</v>
      </c>
      <c r="G651" s="9">
        <v>392</v>
      </c>
      <c r="H651" s="5" t="s">
        <v>20</v>
      </c>
      <c r="I651" s="5" t="s">
        <v>1761</v>
      </c>
      <c r="J651" s="12" t="str">
        <f>HYPERLINK("https://www.boe.es/gazeta/dias/1804/05/04/pdfs/GMD-1804-36.pdf#page=2","Abrir facsímil")</f>
        <v>Abrir facsímil</v>
      </c>
      <c r="K651" s="15" t="s">
        <v>22</v>
      </c>
    </row>
    <row r="652" spans="1:11" ht="42" customHeight="1">
      <c r="A652" s="4" t="s">
        <v>1758</v>
      </c>
      <c r="B652" s="5" t="s">
        <v>1759</v>
      </c>
      <c r="C652" s="5" t="s">
        <v>17</v>
      </c>
      <c r="D652" s="5" t="s">
        <v>18</v>
      </c>
      <c r="E652" s="5" t="s">
        <v>421</v>
      </c>
      <c r="F652" s="9">
        <v>47</v>
      </c>
      <c r="G652" s="9">
        <v>521</v>
      </c>
      <c r="H652" s="5" t="s">
        <v>20</v>
      </c>
      <c r="I652" s="5" t="s">
        <v>1762</v>
      </c>
      <c r="J652" s="12" t="str">
        <f>HYPERLINK("https://www.boe.es/gazeta/dias/1804/06/12/pdfs/GMD-1804-47.pdf#page=3","Abrir facsímil")</f>
        <v>Abrir facsímil</v>
      </c>
      <c r="K652" s="15" t="s">
        <v>22</v>
      </c>
    </row>
    <row r="653" spans="1:11" ht="42" customHeight="1">
      <c r="A653" s="4" t="s">
        <v>1758</v>
      </c>
      <c r="B653" s="5" t="s">
        <v>1759</v>
      </c>
      <c r="C653" s="5" t="s">
        <v>198</v>
      </c>
      <c r="D653" s="5" t="s">
        <v>66</v>
      </c>
      <c r="E653" s="5" t="s">
        <v>484</v>
      </c>
      <c r="F653" s="9">
        <v>53</v>
      </c>
      <c r="G653" s="9">
        <v>584</v>
      </c>
      <c r="H653" s="5" t="s">
        <v>20</v>
      </c>
      <c r="I653" s="5" t="s">
        <v>1763</v>
      </c>
      <c r="J653" s="12" t="str">
        <f>HYPERLINK("https://www.boe.es/gazeta/dias/1804/07/03/pdfs/GMD-1804-53.pdf#page=2","Abrir facsímil")</f>
        <v>Abrir facsímil</v>
      </c>
      <c r="K653" s="15" t="s">
        <v>22</v>
      </c>
    </row>
    <row r="654" spans="1:11" ht="42" customHeight="1">
      <c r="A654" s="4" t="s">
        <v>1758</v>
      </c>
      <c r="B654" s="5" t="s">
        <v>1759</v>
      </c>
      <c r="C654" s="5" t="s">
        <v>57</v>
      </c>
      <c r="D654" s="5" t="s">
        <v>58</v>
      </c>
      <c r="E654" s="5" t="s">
        <v>666</v>
      </c>
      <c r="F654" s="9">
        <v>57</v>
      </c>
      <c r="G654" s="9">
        <v>625</v>
      </c>
      <c r="H654" s="5" t="s">
        <v>20</v>
      </c>
      <c r="I654" s="5" t="s">
        <v>1764</v>
      </c>
      <c r="J654" s="12" t="str">
        <f>HYPERLINK("https://www.boe.es/gazeta/dias/1804/07/17/pdfs/GMD-1804-57.pdf#page=3","Abrir facsímil")</f>
        <v>Abrir facsímil</v>
      </c>
      <c r="K654" s="15" t="s">
        <v>22</v>
      </c>
    </row>
    <row r="655" spans="1:11" ht="42" customHeight="1">
      <c r="A655" s="4" t="s">
        <v>1758</v>
      </c>
      <c r="B655" s="5" t="s">
        <v>1759</v>
      </c>
      <c r="C655" s="5" t="s">
        <v>27</v>
      </c>
      <c r="D655" s="5" t="s">
        <v>28</v>
      </c>
      <c r="E655" s="5" t="s">
        <v>61</v>
      </c>
      <c r="F655" s="9">
        <v>61</v>
      </c>
      <c r="G655" s="9">
        <v>672</v>
      </c>
      <c r="H655" s="5" t="s">
        <v>20</v>
      </c>
      <c r="I655" s="5" t="s">
        <v>1765</v>
      </c>
      <c r="J655" s="12" t="str">
        <f>HYPERLINK("https://www.boe.es/gazeta/dias/1804/07/31/pdfs/GMD-1804-61.pdf#page=2","Abrir facsímil")</f>
        <v>Abrir facsímil</v>
      </c>
      <c r="K655" s="15" t="s">
        <v>22</v>
      </c>
    </row>
    <row r="656" spans="1:11" ht="42" customHeight="1">
      <c r="A656" s="4" t="s">
        <v>1758</v>
      </c>
      <c r="B656" s="5" t="s">
        <v>1759</v>
      </c>
      <c r="C656" s="5" t="s">
        <v>57</v>
      </c>
      <c r="D656" s="5" t="s">
        <v>58</v>
      </c>
      <c r="E656" s="5" t="s">
        <v>61</v>
      </c>
      <c r="F656" s="9">
        <v>61</v>
      </c>
      <c r="G656" s="9">
        <v>673</v>
      </c>
      <c r="H656" s="5" t="s">
        <v>20</v>
      </c>
      <c r="I656" s="5" t="s">
        <v>1766</v>
      </c>
      <c r="J656" s="12" t="str">
        <f>HYPERLINK("https://www.boe.es/gazeta/dias/1804/07/31/pdfs/GMD-1804-61.pdf#page=3","Abrir facsímil")</f>
        <v>Abrir facsímil</v>
      </c>
      <c r="K656" s="15" t="s">
        <v>22</v>
      </c>
    </row>
    <row r="657" spans="1:11" ht="42" customHeight="1">
      <c r="A657" s="4" t="s">
        <v>1758</v>
      </c>
      <c r="B657" s="5" t="s">
        <v>1759</v>
      </c>
      <c r="C657" s="5" t="s">
        <v>57</v>
      </c>
      <c r="D657" s="5" t="s">
        <v>58</v>
      </c>
      <c r="E657" s="5" t="s">
        <v>367</v>
      </c>
      <c r="F657" s="9">
        <v>64</v>
      </c>
      <c r="G657" s="9">
        <v>708</v>
      </c>
      <c r="H657" s="5" t="s">
        <v>20</v>
      </c>
      <c r="I657" s="5" t="s">
        <v>1767</v>
      </c>
      <c r="J657" s="12" t="str">
        <f>HYPERLINK("https://www.boe.es/gazeta/dias/1804/08/10/pdfs/GMD-1804-64.pdf#page=2","Abrir facsímil")</f>
        <v>Abrir facsímil</v>
      </c>
      <c r="K657" s="15" t="s">
        <v>22</v>
      </c>
    </row>
    <row r="658" spans="1:11" ht="42" customHeight="1">
      <c r="A658" s="4" t="s">
        <v>1758</v>
      </c>
      <c r="B658" s="5" t="s">
        <v>1759</v>
      </c>
      <c r="C658" s="5" t="s">
        <v>57</v>
      </c>
      <c r="D658" s="5" t="s">
        <v>58</v>
      </c>
      <c r="E658" s="5" t="s">
        <v>547</v>
      </c>
      <c r="F658" s="9">
        <v>68</v>
      </c>
      <c r="G658" s="9">
        <v>756</v>
      </c>
      <c r="H658" s="5" t="s">
        <v>20</v>
      </c>
      <c r="I658" s="5" t="s">
        <v>1768</v>
      </c>
      <c r="J658" s="12" t="str">
        <f>HYPERLINK("https://www.boe.es/gazeta/dias/1804/08/24/pdfs/GMD-1804-68.pdf#page=2","Abrir facsímil")</f>
        <v>Abrir facsímil</v>
      </c>
      <c r="K658" s="15" t="s">
        <v>22</v>
      </c>
    </row>
    <row r="659" spans="1:11" ht="42" customHeight="1">
      <c r="A659" s="4" t="s">
        <v>1758</v>
      </c>
      <c r="B659" s="5" t="s">
        <v>1759</v>
      </c>
      <c r="C659" s="5" t="s">
        <v>57</v>
      </c>
      <c r="D659" s="5" t="s">
        <v>58</v>
      </c>
      <c r="E659" s="5" t="s">
        <v>326</v>
      </c>
      <c r="F659" s="9">
        <v>69</v>
      </c>
      <c r="G659" s="9">
        <v>769</v>
      </c>
      <c r="H659" s="5" t="s">
        <v>20</v>
      </c>
      <c r="I659" s="5" t="s">
        <v>1769</v>
      </c>
      <c r="J659" s="12" t="str">
        <f>HYPERLINK("https://www.boe.es/gazeta/dias/1804/08/28/pdfs/GMD-1804-69.pdf#page=3","Abrir facsímil")</f>
        <v>Abrir facsímil</v>
      </c>
      <c r="K659" s="15" t="s">
        <v>22</v>
      </c>
    </row>
    <row r="660" spans="1:11" ht="42" customHeight="1">
      <c r="A660" s="4" t="s">
        <v>1758</v>
      </c>
      <c r="B660" s="5" t="s">
        <v>1759</v>
      </c>
      <c r="C660" s="5" t="s">
        <v>57</v>
      </c>
      <c r="D660" s="5" t="s">
        <v>58</v>
      </c>
      <c r="E660" s="5" t="s">
        <v>241</v>
      </c>
      <c r="F660" s="9">
        <v>71</v>
      </c>
      <c r="G660" s="9">
        <v>788</v>
      </c>
      <c r="H660" s="5" t="s">
        <v>20</v>
      </c>
      <c r="I660" s="5" t="s">
        <v>1770</v>
      </c>
      <c r="J660" s="12" t="str">
        <f>HYPERLINK("https://www.boe.es/gazeta/dias/1804/09/04/pdfs/GMD-1804-71.pdf#page=2","Abrir facsímil")</f>
        <v>Abrir facsímil</v>
      </c>
      <c r="K660" s="15" t="s">
        <v>22</v>
      </c>
    </row>
    <row r="661" spans="1:11" ht="42" customHeight="1">
      <c r="A661" s="4" t="s">
        <v>1758</v>
      </c>
      <c r="B661" s="5" t="s">
        <v>1759</v>
      </c>
      <c r="C661" s="5" t="s">
        <v>57</v>
      </c>
      <c r="D661" s="5" t="s">
        <v>58</v>
      </c>
      <c r="E661" s="5" t="s">
        <v>91</v>
      </c>
      <c r="F661" s="9">
        <v>72</v>
      </c>
      <c r="G661" s="9">
        <v>801</v>
      </c>
      <c r="H661" s="5" t="s">
        <v>20</v>
      </c>
      <c r="I661" s="5" t="s">
        <v>1771</v>
      </c>
      <c r="J661" s="12" t="str">
        <f>HYPERLINK("https://www.boe.es/gazeta/dias/1804/09/07/pdfs/GMD-1804-72.pdf#page=3","Abrir facsímil")</f>
        <v>Abrir facsímil</v>
      </c>
      <c r="K661" s="15" t="s">
        <v>22</v>
      </c>
    </row>
    <row r="662" spans="1:11" ht="42" customHeight="1">
      <c r="A662" s="4" t="s">
        <v>1758</v>
      </c>
      <c r="B662" s="5" t="s">
        <v>1759</v>
      </c>
      <c r="C662" s="5" t="s">
        <v>27</v>
      </c>
      <c r="D662" s="5" t="s">
        <v>28</v>
      </c>
      <c r="E662" s="5" t="s">
        <v>709</v>
      </c>
      <c r="F662" s="9">
        <v>82</v>
      </c>
      <c r="G662" s="9">
        <v>899</v>
      </c>
      <c r="H662" s="5" t="s">
        <v>20</v>
      </c>
      <c r="I662" s="5" t="s">
        <v>1772</v>
      </c>
      <c r="J662" s="12" t="str">
        <f>HYPERLINK("https://www.boe.es/gazeta/dias/1804/10/12/pdfs/GMD-1804-82.pdf#page=1","Abrir facsímil")</f>
        <v>Abrir facsímil</v>
      </c>
      <c r="K662" s="15" t="s">
        <v>22</v>
      </c>
    </row>
    <row r="663" spans="1:11" ht="42" customHeight="1">
      <c r="A663" s="4" t="s">
        <v>1758</v>
      </c>
      <c r="B663" s="5" t="s">
        <v>1759</v>
      </c>
      <c r="C663" s="5" t="s">
        <v>57</v>
      </c>
      <c r="D663" s="5" t="s">
        <v>58</v>
      </c>
      <c r="E663" s="5" t="s">
        <v>576</v>
      </c>
      <c r="F663" s="9">
        <v>85</v>
      </c>
      <c r="G663" s="9">
        <v>936</v>
      </c>
      <c r="H663" s="5" t="s">
        <v>20</v>
      </c>
      <c r="I663" s="5" t="s">
        <v>1773</v>
      </c>
      <c r="J663" s="12" t="str">
        <f>HYPERLINK("https://www.boe.es/gazeta/dias/1804/10/23/pdfs/GMD-1804-85.pdf#page=6","Abrir facsímil")</f>
        <v>Abrir facsímil</v>
      </c>
      <c r="K663" s="15" t="s">
        <v>22</v>
      </c>
    </row>
    <row r="664" spans="1:11" ht="42" customHeight="1">
      <c r="A664" s="4" t="s">
        <v>1758</v>
      </c>
      <c r="B664" s="5" t="s">
        <v>1759</v>
      </c>
      <c r="C664" s="5" t="s">
        <v>27</v>
      </c>
      <c r="D664" s="5" t="s">
        <v>28</v>
      </c>
      <c r="E664" s="5" t="s">
        <v>212</v>
      </c>
      <c r="F664" s="9">
        <v>89</v>
      </c>
      <c r="G664" s="9">
        <v>984</v>
      </c>
      <c r="H664" s="5" t="s">
        <v>20</v>
      </c>
      <c r="I664" s="5" t="s">
        <v>1774</v>
      </c>
      <c r="J664" s="12" t="str">
        <f>HYPERLINK("https://www.boe.es/gazeta/dias/1804/11/06/pdfs/GMD-1804-89.pdf#page=4","Abrir facsímil")</f>
        <v>Abrir facsímil</v>
      </c>
      <c r="K664" s="15" t="s">
        <v>22</v>
      </c>
    </row>
    <row r="665" spans="1:11" ht="42" customHeight="1">
      <c r="A665" s="4" t="s">
        <v>1758</v>
      </c>
      <c r="B665" s="5" t="s">
        <v>1759</v>
      </c>
      <c r="C665" s="5" t="s">
        <v>198</v>
      </c>
      <c r="D665" s="5" t="s">
        <v>66</v>
      </c>
      <c r="E665" s="5" t="s">
        <v>950</v>
      </c>
      <c r="F665" s="9">
        <v>90</v>
      </c>
      <c r="G665" s="9">
        <v>996</v>
      </c>
      <c r="H665" s="5" t="s">
        <v>20</v>
      </c>
      <c r="I665" s="5" t="s">
        <v>1775</v>
      </c>
      <c r="J665" s="12" t="str">
        <f>HYPERLINK("https://www.boe.es/gazeta/dias/1804/11/09/pdfs/GMD-1804-90.pdf#page=4","Abrir facsímil")</f>
        <v>Abrir facsímil</v>
      </c>
      <c r="K665" s="15" t="s">
        <v>22</v>
      </c>
    </row>
    <row r="666" spans="1:11" ht="42" customHeight="1">
      <c r="A666" s="4" t="s">
        <v>1758</v>
      </c>
      <c r="B666" s="5" t="s">
        <v>1759</v>
      </c>
      <c r="C666" s="5" t="s">
        <v>57</v>
      </c>
      <c r="D666" s="5" t="s">
        <v>58</v>
      </c>
      <c r="E666" s="5" t="s">
        <v>208</v>
      </c>
      <c r="F666" s="9">
        <v>97</v>
      </c>
      <c r="G666" s="9">
        <v>1076</v>
      </c>
      <c r="H666" s="5" t="s">
        <v>20</v>
      </c>
      <c r="I666" s="5" t="s">
        <v>1776</v>
      </c>
      <c r="J666" s="12" t="str">
        <f>HYPERLINK("https://www.boe.es/gazeta/dias/1804/12/04/pdfs/GMD-1804-97.pdf#page=4","Abrir facsímil")</f>
        <v>Abrir facsímil</v>
      </c>
      <c r="K666" s="15" t="s">
        <v>22</v>
      </c>
    </row>
    <row r="667" spans="1:11" ht="42" customHeight="1">
      <c r="A667" s="4" t="s">
        <v>1758</v>
      </c>
      <c r="B667" s="5" t="s">
        <v>1759</v>
      </c>
      <c r="C667" s="5" t="s">
        <v>57</v>
      </c>
      <c r="D667" s="5" t="s">
        <v>58</v>
      </c>
      <c r="E667" s="5" t="s">
        <v>490</v>
      </c>
      <c r="F667" s="9">
        <v>100</v>
      </c>
      <c r="G667" s="9">
        <v>1110</v>
      </c>
      <c r="H667" s="5" t="s">
        <v>20</v>
      </c>
      <c r="I667" s="5" t="s">
        <v>1777</v>
      </c>
      <c r="J667" s="12" t="str">
        <f>HYPERLINK("https://www.boe.es/gazeta/dias/1804/12/14/pdfs/GMD-1804-100.pdf#page=2","Abrir facsímil")</f>
        <v>Abrir facsímil</v>
      </c>
      <c r="K667" s="15" t="s">
        <v>22</v>
      </c>
    </row>
    <row r="668" spans="1:11" ht="42" customHeight="1">
      <c r="A668" s="4" t="s">
        <v>1758</v>
      </c>
      <c r="B668" s="5" t="s">
        <v>1759</v>
      </c>
      <c r="C668" s="5" t="s">
        <v>27</v>
      </c>
      <c r="D668" s="5" t="s">
        <v>28</v>
      </c>
      <c r="E668" s="5" t="s">
        <v>678</v>
      </c>
      <c r="F668" s="9">
        <v>104</v>
      </c>
      <c r="G668" s="9">
        <v>1157</v>
      </c>
      <c r="H668" s="5" t="s">
        <v>20</v>
      </c>
      <c r="I668" s="5" t="s">
        <v>1778</v>
      </c>
      <c r="J668" s="12" t="str">
        <f>HYPERLINK("https://www.boe.es/gazeta/dias/1804/12/28/pdfs/GMD-1804-104.pdf#page=5","Abrir facsímil")</f>
        <v>Abrir facsímil</v>
      </c>
      <c r="K668" s="15" t="s">
        <v>22</v>
      </c>
    </row>
    <row r="669" spans="1:11" ht="42" customHeight="1">
      <c r="A669" s="4" t="s">
        <v>1779</v>
      </c>
      <c r="B669" s="5" t="s">
        <v>1780</v>
      </c>
      <c r="C669" s="5" t="s">
        <v>27</v>
      </c>
      <c r="D669" s="5" t="s">
        <v>28</v>
      </c>
      <c r="E669" s="5" t="s">
        <v>623</v>
      </c>
      <c r="F669" s="9">
        <v>51</v>
      </c>
      <c r="G669" s="9">
        <v>556</v>
      </c>
      <c r="H669" s="5" t="s">
        <v>20</v>
      </c>
      <c r="I669" s="5" t="s">
        <v>1781</v>
      </c>
      <c r="J669" s="12" t="str">
        <f>HYPERLINK("https://www.boe.es/gazeta/dias/1804/06/26/pdfs/GMD-1804-51.pdf#page=2","Abrir facsímil")</f>
        <v>Abrir facsímil</v>
      </c>
      <c r="K669" s="15" t="s">
        <v>22</v>
      </c>
    </row>
    <row r="670" spans="1:11" ht="42" customHeight="1">
      <c r="A670" s="4" t="s">
        <v>1779</v>
      </c>
      <c r="B670" s="5" t="s">
        <v>1780</v>
      </c>
      <c r="C670" s="5" t="s">
        <v>57</v>
      </c>
      <c r="D670" s="5" t="s">
        <v>58</v>
      </c>
      <c r="E670" s="5" t="s">
        <v>542</v>
      </c>
      <c r="F670" s="9">
        <v>54</v>
      </c>
      <c r="G670" s="9">
        <v>596</v>
      </c>
      <c r="H670" s="5" t="s">
        <v>20</v>
      </c>
      <c r="I670" s="5" t="s">
        <v>1782</v>
      </c>
      <c r="J670" s="12" t="str">
        <f>HYPERLINK("https://www.boe.es/gazeta/dias/1804/07/06/pdfs/GMD-1804-54.pdf#page=2","Abrir facsímil")</f>
        <v>Abrir facsímil</v>
      </c>
      <c r="K670" s="15" t="s">
        <v>22</v>
      </c>
    </row>
    <row r="671" spans="1:11" ht="42" customHeight="1">
      <c r="A671" s="4" t="s">
        <v>1779</v>
      </c>
      <c r="B671" s="5" t="s">
        <v>1780</v>
      </c>
      <c r="C671" s="5" t="s">
        <v>57</v>
      </c>
      <c r="D671" s="5" t="s">
        <v>58</v>
      </c>
      <c r="E671" s="5" t="s">
        <v>91</v>
      </c>
      <c r="F671" s="9">
        <v>72</v>
      </c>
      <c r="G671" s="9">
        <v>801</v>
      </c>
      <c r="H671" s="5" t="s">
        <v>20</v>
      </c>
      <c r="I671" s="5" t="s">
        <v>1783</v>
      </c>
      <c r="J671" s="12" t="str">
        <f>HYPERLINK("https://www.boe.es/gazeta/dias/1804/09/07/pdfs/GMD-1804-72.pdf#page=3","Abrir facsímil")</f>
        <v>Abrir facsímil</v>
      </c>
      <c r="K671" s="15" t="s">
        <v>22</v>
      </c>
    </row>
    <row r="672" spans="1:11" ht="42" customHeight="1">
      <c r="A672" s="4" t="s">
        <v>1779</v>
      </c>
      <c r="B672" s="5" t="s">
        <v>1780</v>
      </c>
      <c r="C672" s="5" t="s">
        <v>27</v>
      </c>
      <c r="D672" s="5" t="s">
        <v>28</v>
      </c>
      <c r="E672" s="5" t="s">
        <v>709</v>
      </c>
      <c r="F672" s="9">
        <v>82</v>
      </c>
      <c r="G672" s="9">
        <v>900</v>
      </c>
      <c r="H672" s="5" t="s">
        <v>20</v>
      </c>
      <c r="I672" s="5" t="s">
        <v>1784</v>
      </c>
      <c r="J672" s="12" t="str">
        <f>HYPERLINK("https://www.boe.es/gazeta/dias/1804/10/12/pdfs/GMD-1804-82.pdf#page=2","Abrir facsímil")</f>
        <v>Abrir facsímil</v>
      </c>
      <c r="K672" s="15" t="s">
        <v>22</v>
      </c>
    </row>
    <row r="673" spans="1:11" ht="42" customHeight="1">
      <c r="A673" s="4" t="s">
        <v>1785</v>
      </c>
      <c r="B673" s="5" t="s">
        <v>1785</v>
      </c>
      <c r="C673" s="5" t="s">
        <v>27</v>
      </c>
      <c r="D673" s="5" t="s">
        <v>28</v>
      </c>
      <c r="E673" s="5" t="s">
        <v>1449</v>
      </c>
      <c r="F673" s="9">
        <v>8</v>
      </c>
      <c r="G673" s="9">
        <v>86</v>
      </c>
      <c r="H673" s="5" t="s">
        <v>20</v>
      </c>
      <c r="I673" s="5" t="s">
        <v>1786</v>
      </c>
      <c r="J673" s="12" t="str">
        <f>HYPERLINK("https://www.boe.es/gazeta/dias/1804/01/27/pdfs/GMD-1804-8.pdf#page=10","Abrir facsímil")</f>
        <v>Abrir facsímil</v>
      </c>
      <c r="K673" s="15" t="s">
        <v>22</v>
      </c>
    </row>
    <row r="674" spans="1:11" ht="42" customHeight="1">
      <c r="A674" s="4" t="s">
        <v>1787</v>
      </c>
      <c r="B674" s="5" t="s">
        <v>1788</v>
      </c>
      <c r="C674" s="5" t="s">
        <v>65</v>
      </c>
      <c r="D674" s="5" t="s">
        <v>66</v>
      </c>
      <c r="E674" s="5" t="s">
        <v>538</v>
      </c>
      <c r="F674" s="9">
        <v>27</v>
      </c>
      <c r="G674" s="9">
        <v>300</v>
      </c>
      <c r="H674" s="5" t="s">
        <v>20</v>
      </c>
      <c r="I674" s="5" t="s">
        <v>1789</v>
      </c>
      <c r="J674" s="12" t="str">
        <f>HYPERLINK("https://www.boe.es/gazeta/dias/1804/04/03/pdfs/GMD-1804-27.pdf#page=6","Abrir facsímil")</f>
        <v>Abrir facsímil</v>
      </c>
      <c r="K674" s="15" t="s">
        <v>22</v>
      </c>
    </row>
    <row r="675" spans="1:11" ht="42" customHeight="1">
      <c r="A675" s="4" t="s">
        <v>1790</v>
      </c>
      <c r="B675" s="5" t="s">
        <v>1791</v>
      </c>
      <c r="C675" s="5" t="s">
        <v>57</v>
      </c>
      <c r="D675" s="5" t="s">
        <v>58</v>
      </c>
      <c r="E675" s="5" t="s">
        <v>147</v>
      </c>
      <c r="F675" s="9">
        <v>77</v>
      </c>
      <c r="G675" s="9">
        <v>853</v>
      </c>
      <c r="H675" s="5" t="s">
        <v>20</v>
      </c>
      <c r="I675" s="5" t="s">
        <v>1792</v>
      </c>
      <c r="J675" s="12" t="str">
        <f>HYPERLINK("https://www.boe.es/gazeta/dias/1804/09/25/pdfs/GMD-1804-77.pdf#page=3","Abrir facsímil")</f>
        <v>Abrir facsímil</v>
      </c>
      <c r="K675" s="15" t="s">
        <v>22</v>
      </c>
    </row>
    <row r="676" spans="1:11" ht="42" customHeight="1">
      <c r="A676" s="4" t="s">
        <v>1790</v>
      </c>
      <c r="B676" s="5" t="s">
        <v>1791</v>
      </c>
      <c r="C676" s="5" t="s">
        <v>65</v>
      </c>
      <c r="D676" s="5" t="s">
        <v>66</v>
      </c>
      <c r="E676" s="5" t="s">
        <v>360</v>
      </c>
      <c r="F676" s="9">
        <v>81</v>
      </c>
      <c r="G676" s="9">
        <v>891</v>
      </c>
      <c r="H676" s="5" t="s">
        <v>20</v>
      </c>
      <c r="I676" s="5" t="s">
        <v>1793</v>
      </c>
      <c r="J676" s="12" t="str">
        <f>HYPERLINK("https://www.boe.es/gazeta/dias/1804/10/09/pdfs/GMD-1804-81.pdf#page=1","Abrir facsímil")</f>
        <v>Abrir facsímil</v>
      </c>
      <c r="K676" s="15" t="s">
        <v>22</v>
      </c>
    </row>
    <row r="677" spans="1:11" ht="42" customHeight="1">
      <c r="A677" s="4" t="s">
        <v>1790</v>
      </c>
      <c r="B677" s="5" t="s">
        <v>1791</v>
      </c>
      <c r="C677" s="5" t="s">
        <v>57</v>
      </c>
      <c r="D677" s="5" t="s">
        <v>58</v>
      </c>
      <c r="E677" s="5" t="s">
        <v>526</v>
      </c>
      <c r="F677" s="9">
        <v>95</v>
      </c>
      <c r="G677" s="9">
        <v>1053</v>
      </c>
      <c r="H677" s="5" t="s">
        <v>20</v>
      </c>
      <c r="I677" s="5" t="s">
        <v>1794</v>
      </c>
      <c r="J677" s="12" t="str">
        <f>HYPERLINK("https://www.boe.es/gazeta/dias/1804/11/27/pdfs/GMD-1804-95.pdf#page=5","Abrir facsímil")</f>
        <v>Abrir facsímil</v>
      </c>
      <c r="K677" s="15" t="s">
        <v>22</v>
      </c>
    </row>
    <row r="678" spans="1:11" ht="42" customHeight="1">
      <c r="A678" s="4" t="s">
        <v>1795</v>
      </c>
      <c r="B678" s="5" t="s">
        <v>1796</v>
      </c>
      <c r="C678" s="5" t="s">
        <v>85</v>
      </c>
      <c r="D678" s="5" t="s">
        <v>86</v>
      </c>
      <c r="E678" s="5" t="s">
        <v>19</v>
      </c>
      <c r="F678" s="9">
        <v>60</v>
      </c>
      <c r="G678" s="9">
        <v>668</v>
      </c>
      <c r="H678" s="5" t="s">
        <v>20</v>
      </c>
      <c r="I678" s="5" t="s">
        <v>1797</v>
      </c>
      <c r="J678" s="12" t="str">
        <f>HYPERLINK("https://www.boe.es/gazeta/dias/1804/07/27/pdfs/GMD-1804-60.pdf#page=10","Abrir facsímil")</f>
        <v>Abrir facsímil</v>
      </c>
      <c r="K678" s="15" t="s">
        <v>22</v>
      </c>
    </row>
    <row r="679" spans="1:11" ht="42" customHeight="1">
      <c r="A679" s="4" t="s">
        <v>1798</v>
      </c>
      <c r="B679" s="5" t="s">
        <v>1799</v>
      </c>
      <c r="C679" s="5" t="s">
        <v>65</v>
      </c>
      <c r="D679" s="5" t="s">
        <v>66</v>
      </c>
      <c r="E679" s="5" t="s">
        <v>147</v>
      </c>
      <c r="F679" s="9">
        <v>77</v>
      </c>
      <c r="G679" s="9">
        <v>858</v>
      </c>
      <c r="H679" s="5" t="s">
        <v>20</v>
      </c>
      <c r="I679" s="5" t="s">
        <v>1800</v>
      </c>
      <c r="J679" s="12" t="str">
        <f>HYPERLINK("https://www.boe.es/gazeta/dias/1804/09/25/pdfs/GMD-1804-77.pdf#page=8","Abrir facsímil")</f>
        <v>Abrir facsímil</v>
      </c>
      <c r="K679" s="15" t="s">
        <v>22</v>
      </c>
    </row>
    <row r="680" spans="1:11" ht="42" customHeight="1">
      <c r="A680" s="4" t="s">
        <v>1801</v>
      </c>
      <c r="B680" s="5" t="s">
        <v>1802</v>
      </c>
      <c r="C680" s="5" t="s">
        <v>85</v>
      </c>
      <c r="D680" s="5" t="s">
        <v>86</v>
      </c>
      <c r="E680" s="5" t="s">
        <v>388</v>
      </c>
      <c r="F680" s="9">
        <v>18</v>
      </c>
      <c r="G680" s="9">
        <v>200</v>
      </c>
      <c r="H680" s="5" t="s">
        <v>20</v>
      </c>
      <c r="I680" s="5" t="s">
        <v>1803</v>
      </c>
      <c r="J680" s="12" t="str">
        <f>HYPERLINK("https://www.boe.es/gazeta/dias/1804/03/02/pdfs/GMD-1804-18.pdf#page=12","Abrir facsímil")</f>
        <v>Abrir facsímil</v>
      </c>
      <c r="K680" s="15" t="s">
        <v>22</v>
      </c>
    </row>
    <row r="681" spans="1:11" ht="42" customHeight="1">
      <c r="A681" s="4" t="s">
        <v>1801</v>
      </c>
      <c r="B681" s="5" t="s">
        <v>1802</v>
      </c>
      <c r="C681" s="5" t="s">
        <v>85</v>
      </c>
      <c r="D681" s="5" t="s">
        <v>86</v>
      </c>
      <c r="E681" s="5" t="s">
        <v>367</v>
      </c>
      <c r="F681" s="9">
        <v>64</v>
      </c>
      <c r="G681" s="9">
        <v>718</v>
      </c>
      <c r="H681" s="5" t="s">
        <v>20</v>
      </c>
      <c r="I681" s="5" t="s">
        <v>1804</v>
      </c>
      <c r="J681" s="12" t="str">
        <f>HYPERLINK("https://www.boe.es/gazeta/dias/1804/08/10/pdfs/GMD-1804-64.pdf#page=12","Abrir facsímil")</f>
        <v>Abrir facsímil</v>
      </c>
      <c r="K681" s="15" t="s">
        <v>22</v>
      </c>
    </row>
    <row r="682" spans="1:11" ht="42" customHeight="1">
      <c r="A682" s="4" t="s">
        <v>1805</v>
      </c>
      <c r="B682" s="5" t="s">
        <v>1805</v>
      </c>
      <c r="C682" s="5" t="s">
        <v>57</v>
      </c>
      <c r="D682" s="5" t="s">
        <v>58</v>
      </c>
      <c r="E682" s="5" t="s">
        <v>111</v>
      </c>
      <c r="F682" s="9">
        <v>40</v>
      </c>
      <c r="G682" s="9">
        <v>446</v>
      </c>
      <c r="H682" s="5" t="s">
        <v>20</v>
      </c>
      <c r="I682" s="5" t="s">
        <v>1806</v>
      </c>
      <c r="J682" s="12" t="str">
        <f>HYPERLINK("https://www.boe.es/gazeta/dias/1804/05/18/pdfs/GMD-1804-40.pdf#page=8","Abrir facsímil")</f>
        <v>Abrir facsímil</v>
      </c>
      <c r="K682" s="15" t="s">
        <v>22</v>
      </c>
    </row>
    <row r="683" spans="1:11" ht="42" customHeight="1">
      <c r="A683" s="4" t="s">
        <v>1807</v>
      </c>
      <c r="B683" s="5" t="s">
        <v>1808</v>
      </c>
      <c r="C683" s="5" t="s">
        <v>120</v>
      </c>
      <c r="D683" s="5" t="s">
        <v>121</v>
      </c>
      <c r="E683" s="5" t="s">
        <v>33</v>
      </c>
      <c r="F683" s="9">
        <v>48</v>
      </c>
      <c r="G683" s="9" t="s">
        <v>98</v>
      </c>
      <c r="H683" s="5" t="s">
        <v>20</v>
      </c>
      <c r="I683" s="5" t="s">
        <v>1809</v>
      </c>
      <c r="J683" s="12" t="str">
        <f>HYPERLINK("https://www.boe.es/gazeta/dias/1804/06/15/pdfs/GMD-C-1804-48.pdf#page=1","Abrir facsímil")</f>
        <v>Abrir facsímil</v>
      </c>
      <c r="K683" s="15" t="s">
        <v>22</v>
      </c>
    </row>
    <row r="684" spans="1:11" ht="42" customHeight="1">
      <c r="A684" s="4" t="s">
        <v>1810</v>
      </c>
      <c r="B684" s="5" t="s">
        <v>1811</v>
      </c>
      <c r="C684" s="5" t="s">
        <v>17</v>
      </c>
      <c r="D684" s="5" t="s">
        <v>18</v>
      </c>
      <c r="E684" s="5" t="s">
        <v>109</v>
      </c>
      <c r="F684" s="9">
        <v>35</v>
      </c>
      <c r="G684" s="9">
        <v>386</v>
      </c>
      <c r="H684" s="5" t="s">
        <v>20</v>
      </c>
      <c r="I684" s="5" t="s">
        <v>1812</v>
      </c>
      <c r="J684" s="12" t="str">
        <f>HYPERLINK("https://www.boe.es/gazeta/dias/1804/05/01/pdfs/GMD-1804-35.pdf#page=8","Abrir facsímil")</f>
        <v>Abrir facsímil</v>
      </c>
      <c r="K684" s="15" t="s">
        <v>22</v>
      </c>
    </row>
    <row r="685" spans="1:11" ht="42" customHeight="1">
      <c r="A685" s="4" t="s">
        <v>1810</v>
      </c>
      <c r="B685" s="5" t="s">
        <v>1811</v>
      </c>
      <c r="C685" s="5" t="s">
        <v>65</v>
      </c>
      <c r="D685" s="5" t="s">
        <v>66</v>
      </c>
      <c r="E685" s="5" t="s">
        <v>378</v>
      </c>
      <c r="F685" s="9">
        <v>65</v>
      </c>
      <c r="G685" s="9">
        <v>730</v>
      </c>
      <c r="H685" s="5" t="s">
        <v>20</v>
      </c>
      <c r="I685" s="5" t="s">
        <v>1813</v>
      </c>
      <c r="J685" s="12" t="str">
        <f>HYPERLINK("https://www.boe.es/gazeta/dias/1804/08/14/pdfs/GMD-1804-65.pdf#page=8","Abrir facsímil")</f>
        <v>Abrir facsímil</v>
      </c>
      <c r="K685" s="15" t="s">
        <v>22</v>
      </c>
    </row>
    <row r="686" spans="1:11" ht="42" customHeight="1">
      <c r="A686" s="4" t="s">
        <v>1814</v>
      </c>
      <c r="B686" s="5" t="s">
        <v>1815</v>
      </c>
      <c r="C686" s="5" t="s">
        <v>65</v>
      </c>
      <c r="D686" s="5" t="s">
        <v>66</v>
      </c>
      <c r="E686" s="5" t="s">
        <v>251</v>
      </c>
      <c r="F686" s="9">
        <v>79</v>
      </c>
      <c r="G686" s="9">
        <v>878</v>
      </c>
      <c r="H686" s="5" t="s">
        <v>20</v>
      </c>
      <c r="I686" s="5" t="s">
        <v>1816</v>
      </c>
      <c r="J686" s="12" t="str">
        <f>HYPERLINK("https://www.boe.es/gazeta/dias/1804/10/02/pdfs/GMD-1804-79.pdf#page=8","Abrir facsímil")</f>
        <v>Abrir facsímil</v>
      </c>
      <c r="K686" s="15" t="s">
        <v>22</v>
      </c>
    </row>
    <row r="687" spans="1:11" ht="42" customHeight="1">
      <c r="A687" s="4" t="s">
        <v>1817</v>
      </c>
      <c r="B687" s="5" t="s">
        <v>1818</v>
      </c>
      <c r="C687" s="5" t="s">
        <v>120</v>
      </c>
      <c r="D687" s="5" t="s">
        <v>121</v>
      </c>
      <c r="E687" s="5" t="s">
        <v>33</v>
      </c>
      <c r="F687" s="9">
        <v>48</v>
      </c>
      <c r="G687" s="9" t="s">
        <v>819</v>
      </c>
      <c r="H687" s="5" t="s">
        <v>20</v>
      </c>
      <c r="I687" s="5" t="s">
        <v>1819</v>
      </c>
      <c r="J687" s="12" t="str">
        <f>HYPERLINK("https://www.boe.es/gazeta/dias/1804/06/15/pdfs/GMD-C-1804-48.pdf#page=4","Abrir facsímil")</f>
        <v>Abrir facsímil</v>
      </c>
      <c r="K687" s="15" t="s">
        <v>22</v>
      </c>
    </row>
    <row r="688" spans="1:11" ht="42" customHeight="1">
      <c r="A688" s="4" t="s">
        <v>1820</v>
      </c>
      <c r="B688" s="5" t="s">
        <v>1821</v>
      </c>
      <c r="C688" s="5" t="s">
        <v>17</v>
      </c>
      <c r="D688" s="5" t="s">
        <v>18</v>
      </c>
      <c r="E688" s="5" t="s">
        <v>666</v>
      </c>
      <c r="F688" s="9">
        <v>57</v>
      </c>
      <c r="G688" s="9">
        <v>632</v>
      </c>
      <c r="H688" s="5" t="s">
        <v>20</v>
      </c>
      <c r="I688" s="5" t="s">
        <v>1822</v>
      </c>
      <c r="J688" s="12" t="str">
        <f>HYPERLINK("https://www.boe.es/gazeta/dias/1804/07/17/pdfs/GMD-1804-57.pdf#page=10","Abrir facsímil")</f>
        <v>Abrir facsímil</v>
      </c>
      <c r="K688" s="15" t="s">
        <v>22</v>
      </c>
    </row>
    <row r="689" spans="1:11" ht="42" customHeight="1">
      <c r="A689" s="4" t="s">
        <v>1823</v>
      </c>
      <c r="B689" s="5" t="s">
        <v>1824</v>
      </c>
      <c r="C689" s="5" t="s">
        <v>17</v>
      </c>
      <c r="D689" s="5" t="s">
        <v>18</v>
      </c>
      <c r="E689" s="5" t="s">
        <v>151</v>
      </c>
      <c r="F689" s="9">
        <v>13</v>
      </c>
      <c r="G689" s="9">
        <v>144</v>
      </c>
      <c r="H689" s="5" t="s">
        <v>20</v>
      </c>
      <c r="I689" s="5" t="s">
        <v>1825</v>
      </c>
      <c r="J689" s="12" t="str">
        <f>HYPERLINK("https://www.boe.es/gazeta/dias/1804/02/14/pdfs/GMD-1804-13.pdf#page=8","Abrir facsímil")</f>
        <v>Abrir facsímil</v>
      </c>
      <c r="K689" s="15" t="s">
        <v>22</v>
      </c>
    </row>
    <row r="690" spans="1:11" ht="42" customHeight="1">
      <c r="A690" s="4" t="s">
        <v>1823</v>
      </c>
      <c r="B690" s="5" t="s">
        <v>1824</v>
      </c>
      <c r="C690" s="5" t="s">
        <v>17</v>
      </c>
      <c r="D690" s="5" t="s">
        <v>18</v>
      </c>
      <c r="E690" s="5" t="s">
        <v>587</v>
      </c>
      <c r="F690" s="9">
        <v>62</v>
      </c>
      <c r="G690" s="9">
        <v>690</v>
      </c>
      <c r="H690" s="5" t="s">
        <v>20</v>
      </c>
      <c r="I690" s="5" t="s">
        <v>1826</v>
      </c>
      <c r="J690" s="12" t="str">
        <f>HYPERLINK("https://www.boe.es/gazeta/dias/1804/08/03/pdfs/GMD-1804-62.pdf#page=12","Abrir facsímil")</f>
        <v>Abrir facsímil</v>
      </c>
      <c r="K690" s="15" t="s">
        <v>22</v>
      </c>
    </row>
    <row r="691" spans="1:11" ht="42" customHeight="1">
      <c r="A691" s="4" t="s">
        <v>1827</v>
      </c>
      <c r="B691" s="5" t="s">
        <v>1828</v>
      </c>
      <c r="C691" s="5" t="s">
        <v>120</v>
      </c>
      <c r="D691" s="5" t="s">
        <v>121</v>
      </c>
      <c r="E691" s="5" t="s">
        <v>33</v>
      </c>
      <c r="F691" s="9">
        <v>48</v>
      </c>
      <c r="G691" s="9" t="s">
        <v>122</v>
      </c>
      <c r="H691" s="5" t="s">
        <v>20</v>
      </c>
      <c r="I691" s="5" t="s">
        <v>1829</v>
      </c>
      <c r="J691" s="12" t="str">
        <f>HYPERLINK("https://www.boe.es/gazeta/dias/1804/06/15/pdfs/GMD-C-1804-48.pdf#page=3","Abrir facsímil")</f>
        <v>Abrir facsímil</v>
      </c>
      <c r="K691" s="15" t="s">
        <v>22</v>
      </c>
    </row>
    <row r="692" spans="1:11" ht="42" customHeight="1">
      <c r="A692" s="4" t="s">
        <v>1830</v>
      </c>
      <c r="B692" s="5" t="s">
        <v>1831</v>
      </c>
      <c r="C692" s="5" t="s">
        <v>65</v>
      </c>
      <c r="D692" s="5" t="s">
        <v>66</v>
      </c>
      <c r="E692" s="5" t="s">
        <v>1337</v>
      </c>
      <c r="F692" s="9">
        <v>7</v>
      </c>
      <c r="G692" s="9">
        <v>70</v>
      </c>
      <c r="H692" s="5" t="s">
        <v>20</v>
      </c>
      <c r="I692" s="5" t="s">
        <v>1832</v>
      </c>
      <c r="J692" s="12" t="str">
        <f>HYPERLINK("https://www.boe.es/gazeta/dias/1804/01/24/pdfs/GMD-1804-7.pdf#page=10","Abrir facsímil")</f>
        <v>Abrir facsímil</v>
      </c>
      <c r="K692" s="15" t="s">
        <v>22</v>
      </c>
    </row>
    <row r="693" spans="1:11" ht="42" customHeight="1">
      <c r="A693" s="4" t="s">
        <v>1833</v>
      </c>
      <c r="B693" s="5" t="s">
        <v>1834</v>
      </c>
      <c r="C693" s="5" t="s">
        <v>27</v>
      </c>
      <c r="D693" s="5" t="s">
        <v>28</v>
      </c>
      <c r="E693" s="5" t="s">
        <v>258</v>
      </c>
      <c r="F693" s="9">
        <v>14</v>
      </c>
      <c r="G693" s="9">
        <v>153</v>
      </c>
      <c r="H693" s="5" t="s">
        <v>20</v>
      </c>
      <c r="I693" s="5" t="s">
        <v>1835</v>
      </c>
      <c r="J693" s="12" t="str">
        <f>HYPERLINK("https://www.boe.es/gazeta/dias/1804/02/17/pdfs/GMD-1804-14.pdf#page=9","Abrir facsímil")</f>
        <v>Abrir facsímil</v>
      </c>
      <c r="K693" s="15" t="s">
        <v>22</v>
      </c>
    </row>
    <row r="694" spans="1:11" ht="42" customHeight="1">
      <c r="A694" s="4" t="s">
        <v>1836</v>
      </c>
      <c r="B694" s="5" t="s">
        <v>1837</v>
      </c>
      <c r="C694" s="5" t="s">
        <v>27</v>
      </c>
      <c r="D694" s="5" t="s">
        <v>28</v>
      </c>
      <c r="E694" s="5" t="s">
        <v>1337</v>
      </c>
      <c r="F694" s="9">
        <v>7</v>
      </c>
      <c r="G694" s="9">
        <v>70</v>
      </c>
      <c r="H694" s="5" t="s">
        <v>20</v>
      </c>
      <c r="I694" s="5" t="s">
        <v>1838</v>
      </c>
      <c r="J694" s="12" t="str">
        <f>HYPERLINK("https://www.boe.es/gazeta/dias/1804/01/24/pdfs/GMD-1804-7.pdf#page=10","Abrir facsímil")</f>
        <v>Abrir facsímil</v>
      </c>
      <c r="K694" s="15" t="s">
        <v>22</v>
      </c>
    </row>
    <row r="695" spans="1:11" ht="42" customHeight="1">
      <c r="A695" s="4" t="s">
        <v>1839</v>
      </c>
      <c r="B695" s="5" t="s">
        <v>1840</v>
      </c>
      <c r="C695" s="5" t="s">
        <v>17</v>
      </c>
      <c r="D695" s="5" t="s">
        <v>18</v>
      </c>
      <c r="E695" s="5" t="s">
        <v>317</v>
      </c>
      <c r="F695" s="9">
        <v>56</v>
      </c>
      <c r="G695" s="9">
        <v>620</v>
      </c>
      <c r="H695" s="5" t="s">
        <v>20</v>
      </c>
      <c r="I695" s="5" t="s">
        <v>1841</v>
      </c>
      <c r="J695" s="12" t="str">
        <f>HYPERLINK("https://www.boe.es/gazeta/dias/1804/07/13/pdfs/GMD-1804-56.pdf#page=6","Abrir facsímil")</f>
        <v>Abrir facsímil</v>
      </c>
      <c r="K695" s="15" t="s">
        <v>22</v>
      </c>
    </row>
    <row r="696" spans="1:11" ht="42" customHeight="1">
      <c r="A696" s="4" t="s">
        <v>1839</v>
      </c>
      <c r="B696" s="5" t="s">
        <v>1840</v>
      </c>
      <c r="C696" s="5" t="s">
        <v>27</v>
      </c>
      <c r="D696" s="5" t="s">
        <v>28</v>
      </c>
      <c r="E696" s="5" t="s">
        <v>212</v>
      </c>
      <c r="F696" s="9">
        <v>89</v>
      </c>
      <c r="G696" s="9">
        <v>990</v>
      </c>
      <c r="H696" s="5" t="s">
        <v>20</v>
      </c>
      <c r="I696" s="5" t="s">
        <v>1842</v>
      </c>
      <c r="J696" s="12" t="str">
        <f>HYPERLINK("https://www.boe.es/gazeta/dias/1804/11/06/pdfs/GMD-1804-89.pdf#page=10","Abrir facsímil")</f>
        <v>Abrir facsímil</v>
      </c>
      <c r="K696" s="15" t="s">
        <v>22</v>
      </c>
    </row>
    <row r="697" spans="1:11" ht="42" customHeight="1">
      <c r="A697" s="4" t="s">
        <v>1843</v>
      </c>
      <c r="B697" s="5" t="s">
        <v>1844</v>
      </c>
      <c r="C697" s="5" t="s">
        <v>17</v>
      </c>
      <c r="D697" s="5" t="s">
        <v>18</v>
      </c>
      <c r="E697" s="5" t="s">
        <v>950</v>
      </c>
      <c r="F697" s="9">
        <v>90</v>
      </c>
      <c r="G697" s="9">
        <v>999</v>
      </c>
      <c r="H697" s="5" t="s">
        <v>20</v>
      </c>
      <c r="I697" s="5" t="s">
        <v>1845</v>
      </c>
      <c r="J697" s="12" t="str">
        <f>HYPERLINK("https://www.boe.es/gazeta/dias/1804/11/09/pdfs/GMD-1804-90.pdf#page=7","Abrir facsímil")</f>
        <v>Abrir facsímil</v>
      </c>
      <c r="K697" s="15" t="s">
        <v>22</v>
      </c>
    </row>
    <row r="698" spans="1:11" ht="42" customHeight="1">
      <c r="A698" s="4" t="s">
        <v>1846</v>
      </c>
      <c r="B698" s="5" t="s">
        <v>1847</v>
      </c>
      <c r="C698" s="5" t="s">
        <v>27</v>
      </c>
      <c r="D698" s="5" t="s">
        <v>28</v>
      </c>
      <c r="E698" s="5" t="s">
        <v>670</v>
      </c>
      <c r="F698" s="9">
        <v>41</v>
      </c>
      <c r="G698" s="9">
        <v>457</v>
      </c>
      <c r="H698" s="5" t="s">
        <v>20</v>
      </c>
      <c r="I698" s="5" t="s">
        <v>1848</v>
      </c>
      <c r="J698" s="12" t="str">
        <f>HYPERLINK("https://www.boe.es/gazeta/dias/1804/05/22/pdfs/GMD-1804-41.pdf#page=7","Abrir facsímil")</f>
        <v>Abrir facsímil</v>
      </c>
      <c r="K698" s="15" t="s">
        <v>22</v>
      </c>
    </row>
    <row r="699" spans="1:11" ht="42" customHeight="1">
      <c r="A699" s="4" t="s">
        <v>1846</v>
      </c>
      <c r="B699" s="5" t="s">
        <v>1847</v>
      </c>
      <c r="C699" s="5" t="s">
        <v>17</v>
      </c>
      <c r="D699" s="5" t="s">
        <v>18</v>
      </c>
      <c r="E699" s="5" t="s">
        <v>637</v>
      </c>
      <c r="F699" s="9">
        <v>74</v>
      </c>
      <c r="G699" s="9">
        <v>831</v>
      </c>
      <c r="H699" s="5" t="s">
        <v>20</v>
      </c>
      <c r="I699" s="5" t="s">
        <v>1849</v>
      </c>
      <c r="J699" s="12" t="str">
        <f>HYPERLINK("https://www.boe.es/gazeta/dias/1804/09/14/pdfs/GMD-1804-74.pdf#page=9","Abrir facsímil")</f>
        <v>Abrir facsímil</v>
      </c>
      <c r="K699" s="15" t="s">
        <v>22</v>
      </c>
    </row>
    <row r="700" spans="1:11" ht="42" customHeight="1">
      <c r="A700" s="4" t="s">
        <v>1850</v>
      </c>
      <c r="B700" s="5" t="s">
        <v>1851</v>
      </c>
      <c r="C700" s="5" t="s">
        <v>65</v>
      </c>
      <c r="D700" s="5" t="s">
        <v>66</v>
      </c>
      <c r="E700" s="5" t="s">
        <v>67</v>
      </c>
      <c r="F700" s="9">
        <v>59</v>
      </c>
      <c r="G700" s="9">
        <v>653</v>
      </c>
      <c r="H700" s="5" t="s">
        <v>20</v>
      </c>
      <c r="I700" s="5" t="s">
        <v>1852</v>
      </c>
      <c r="J700" s="12" t="str">
        <f>HYPERLINK("https://www.boe.es/gazeta/dias/1804/07/24/pdfs/GMD-1804-59.pdf#page=7","Abrir facsímil")</f>
        <v>Abrir facsímil</v>
      </c>
      <c r="K700" s="15" t="s">
        <v>22</v>
      </c>
    </row>
    <row r="701" spans="1:11" ht="42" customHeight="1">
      <c r="A701" s="4" t="s">
        <v>1853</v>
      </c>
      <c r="B701" s="5" t="s">
        <v>1854</v>
      </c>
      <c r="C701" s="5" t="s">
        <v>27</v>
      </c>
      <c r="D701" s="5" t="s">
        <v>28</v>
      </c>
      <c r="E701" s="5" t="s">
        <v>272</v>
      </c>
      <c r="F701" s="9">
        <v>30</v>
      </c>
      <c r="G701" s="9">
        <v>332</v>
      </c>
      <c r="H701" s="5" t="s">
        <v>20</v>
      </c>
      <c r="I701" s="5" t="s">
        <v>1855</v>
      </c>
      <c r="J701" s="12" t="str">
        <f>HYPERLINK("https://www.boe.es/gazeta/dias/1804/04/13/pdfs/GMD-1804-30.pdf#page=10","Abrir facsímil")</f>
        <v>Abrir facsímil</v>
      </c>
      <c r="K701" s="15" t="s">
        <v>22</v>
      </c>
    </row>
    <row r="702" spans="1:11" ht="42" customHeight="1">
      <c r="A702" s="4" t="s">
        <v>1856</v>
      </c>
      <c r="B702" s="5" t="s">
        <v>1856</v>
      </c>
      <c r="C702" s="5" t="s">
        <v>57</v>
      </c>
      <c r="D702" s="5" t="s">
        <v>58</v>
      </c>
      <c r="E702" s="5" t="s">
        <v>251</v>
      </c>
      <c r="F702" s="9">
        <v>79</v>
      </c>
      <c r="G702" s="9">
        <v>873</v>
      </c>
      <c r="H702" s="5" t="s">
        <v>20</v>
      </c>
      <c r="I702" s="5" t="s">
        <v>1857</v>
      </c>
      <c r="J702" s="12" t="str">
        <f>HYPERLINK("https://www.boe.es/gazeta/dias/1804/10/02/pdfs/GMD-1804-79.pdf#page=3","Abrir facsímil")</f>
        <v>Abrir facsímil</v>
      </c>
      <c r="K702" s="15" t="s">
        <v>22</v>
      </c>
    </row>
    <row r="703" spans="1:11" ht="42" customHeight="1">
      <c r="A703" s="4" t="s">
        <v>1858</v>
      </c>
      <c r="B703" s="5" t="s">
        <v>1859</v>
      </c>
      <c r="C703" s="5" t="s">
        <v>27</v>
      </c>
      <c r="D703" s="5" t="s">
        <v>28</v>
      </c>
      <c r="E703" s="5" t="s">
        <v>199</v>
      </c>
      <c r="F703" s="9">
        <v>46</v>
      </c>
      <c r="G703" s="9">
        <v>512</v>
      </c>
      <c r="H703" s="5" t="s">
        <v>20</v>
      </c>
      <c r="I703" s="5" t="s">
        <v>1860</v>
      </c>
      <c r="J703" s="12" t="str">
        <f>HYPERLINK("https://www.boe.es/gazeta/dias/1804/06/08/pdfs/GMD-1804-46.pdf#page=10","Abrir facsímil")</f>
        <v>Abrir facsímil</v>
      </c>
      <c r="K703" s="15" t="s">
        <v>22</v>
      </c>
    </row>
    <row r="704" spans="1:11" ht="42" customHeight="1">
      <c r="A704" s="4" t="s">
        <v>1861</v>
      </c>
      <c r="B704" s="5" t="s">
        <v>1862</v>
      </c>
      <c r="C704" s="5" t="s">
        <v>27</v>
      </c>
      <c r="D704" s="5" t="s">
        <v>28</v>
      </c>
      <c r="E704" s="5" t="s">
        <v>81</v>
      </c>
      <c r="F704" s="9">
        <v>98</v>
      </c>
      <c r="G704" s="9">
        <v>1088</v>
      </c>
      <c r="H704" s="5" t="s">
        <v>20</v>
      </c>
      <c r="I704" s="5" t="s">
        <v>1863</v>
      </c>
      <c r="J704" s="12" t="str">
        <f>HYPERLINK("https://www.boe.es/gazeta/dias/1804/12/07/pdfs/GMD-1804-98.pdf#page=4","Abrir facsímil")</f>
        <v>Abrir facsímil</v>
      </c>
      <c r="K704" s="15" t="s">
        <v>22</v>
      </c>
    </row>
    <row r="705" spans="1:11" ht="42" customHeight="1">
      <c r="A705" s="4" t="s">
        <v>1864</v>
      </c>
      <c r="B705" s="5" t="s">
        <v>1865</v>
      </c>
      <c r="C705" s="5" t="s">
        <v>17</v>
      </c>
      <c r="D705" s="5" t="s">
        <v>18</v>
      </c>
      <c r="E705" s="5" t="s">
        <v>421</v>
      </c>
      <c r="F705" s="9">
        <v>47</v>
      </c>
      <c r="G705" s="9">
        <v>528</v>
      </c>
      <c r="H705" s="5" t="s">
        <v>20</v>
      </c>
      <c r="I705" s="5" t="s">
        <v>1866</v>
      </c>
      <c r="J705" s="12" t="str">
        <f>HYPERLINK("https://www.boe.es/gazeta/dias/1804/06/12/pdfs/GMD-1804-47.pdf#page=10","Abrir facsímil")</f>
        <v>Abrir facsímil</v>
      </c>
      <c r="K705" s="15" t="s">
        <v>22</v>
      </c>
    </row>
    <row r="706" spans="1:11" ht="42" customHeight="1">
      <c r="A706" s="4" t="s">
        <v>1867</v>
      </c>
      <c r="B706" s="5" t="s">
        <v>1868</v>
      </c>
      <c r="C706" s="5" t="s">
        <v>27</v>
      </c>
      <c r="D706" s="5" t="s">
        <v>28</v>
      </c>
      <c r="E706" s="5" t="s">
        <v>466</v>
      </c>
      <c r="F706" s="9">
        <v>76</v>
      </c>
      <c r="G706" s="9">
        <v>847</v>
      </c>
      <c r="H706" s="5" t="s">
        <v>20</v>
      </c>
      <c r="I706" s="5" t="s">
        <v>1869</v>
      </c>
      <c r="J706" s="12" t="str">
        <f>HYPERLINK("https://www.boe.es/gazeta/dias/1804/09/21/pdfs/GMD-1804-76.pdf#page=5","Abrir facsímil")</f>
        <v>Abrir facsímil</v>
      </c>
      <c r="K706" s="15" t="s">
        <v>22</v>
      </c>
    </row>
    <row r="707" spans="1:11" ht="42" customHeight="1">
      <c r="A707" s="4" t="s">
        <v>1870</v>
      </c>
      <c r="B707" s="5" t="s">
        <v>1871</v>
      </c>
      <c r="C707" s="5" t="s">
        <v>17</v>
      </c>
      <c r="D707" s="5" t="s">
        <v>18</v>
      </c>
      <c r="E707" s="5" t="s">
        <v>666</v>
      </c>
      <c r="F707" s="9">
        <v>57</v>
      </c>
      <c r="G707" s="9">
        <v>632</v>
      </c>
      <c r="H707" s="5" t="s">
        <v>20</v>
      </c>
      <c r="I707" s="5" t="s">
        <v>1872</v>
      </c>
      <c r="J707" s="12" t="str">
        <f>HYPERLINK("https://www.boe.es/gazeta/dias/1804/07/17/pdfs/GMD-1804-57.pdf#page=10","Abrir facsímil")</f>
        <v>Abrir facsímil</v>
      </c>
      <c r="K707" s="15" t="s">
        <v>22</v>
      </c>
    </row>
    <row r="708" spans="1:11" ht="42" customHeight="1">
      <c r="A708" s="4" t="s">
        <v>1873</v>
      </c>
      <c r="B708" s="5" t="s">
        <v>1874</v>
      </c>
      <c r="C708" s="5" t="s">
        <v>27</v>
      </c>
      <c r="D708" s="5" t="s">
        <v>28</v>
      </c>
      <c r="E708" s="5" t="s">
        <v>33</v>
      </c>
      <c r="F708" s="9">
        <v>48</v>
      </c>
      <c r="G708" s="9">
        <v>536</v>
      </c>
      <c r="H708" s="5" t="s">
        <v>20</v>
      </c>
      <c r="I708" s="5" t="s">
        <v>1875</v>
      </c>
      <c r="J708" s="12" t="str">
        <f>HYPERLINK("https://www.boe.es/gazeta/dias/1804/06/15/pdfs/GMD-1804-48.pdf#page=6","Abrir facsímil")</f>
        <v>Abrir facsímil</v>
      </c>
      <c r="K708" s="15" t="s">
        <v>22</v>
      </c>
    </row>
    <row r="709" spans="1:11" ht="42" customHeight="1">
      <c r="A709" s="4" t="s">
        <v>1876</v>
      </c>
      <c r="B709" s="5" t="s">
        <v>1877</v>
      </c>
      <c r="C709" s="5" t="s">
        <v>27</v>
      </c>
      <c r="D709" s="5" t="s">
        <v>28</v>
      </c>
      <c r="E709" s="5" t="s">
        <v>709</v>
      </c>
      <c r="F709" s="9">
        <v>82</v>
      </c>
      <c r="G709" s="9">
        <v>907</v>
      </c>
      <c r="H709" s="5" t="s">
        <v>20</v>
      </c>
      <c r="I709" s="5" t="s">
        <v>1878</v>
      </c>
      <c r="J709" s="12" t="str">
        <f>HYPERLINK("https://www.boe.es/gazeta/dias/1804/10/12/pdfs/GMD-1804-82.pdf#page=9","Abrir facsímil")</f>
        <v>Abrir facsímil</v>
      </c>
      <c r="K709" s="15" t="s">
        <v>22</v>
      </c>
    </row>
    <row r="710" spans="1:11" ht="42" customHeight="1">
      <c r="A710" s="4" t="s">
        <v>1879</v>
      </c>
      <c r="B710" s="5" t="s">
        <v>1880</v>
      </c>
      <c r="C710" s="5" t="s">
        <v>27</v>
      </c>
      <c r="D710" s="5" t="s">
        <v>28</v>
      </c>
      <c r="E710" s="5" t="s">
        <v>308</v>
      </c>
      <c r="F710" s="9">
        <v>96</v>
      </c>
      <c r="G710" s="9">
        <v>1067</v>
      </c>
      <c r="H710" s="5" t="s">
        <v>20</v>
      </c>
      <c r="I710" s="5" t="s">
        <v>1881</v>
      </c>
      <c r="J710" s="12" t="str">
        <f>HYPERLINK("https://www.boe.es/gazeta/dias/1804/11/30/pdfs/GMD-1804-96.pdf#page=7","Abrir facsímil")</f>
        <v>Abrir facsímil</v>
      </c>
      <c r="K710" s="15" t="s">
        <v>22</v>
      </c>
    </row>
    <row r="711" spans="1:11" ht="42" customHeight="1">
      <c r="A711" s="4" t="s">
        <v>1882</v>
      </c>
      <c r="B711" s="5" t="s">
        <v>1882</v>
      </c>
      <c r="C711" s="5" t="s">
        <v>85</v>
      </c>
      <c r="D711" s="5" t="s">
        <v>86</v>
      </c>
      <c r="E711" s="5" t="s">
        <v>484</v>
      </c>
      <c r="F711" s="9">
        <v>53</v>
      </c>
      <c r="G711" s="9">
        <v>594</v>
      </c>
      <c r="H711" s="5" t="s">
        <v>20</v>
      </c>
      <c r="I711" s="5" t="s">
        <v>1883</v>
      </c>
      <c r="J711" s="12" t="str">
        <f>HYPERLINK("https://www.boe.es/gazeta/dias/1804/07/03/pdfs/GMD-1804-53.pdf#page=12","Abrir facsímil")</f>
        <v>Abrir facsímil</v>
      </c>
      <c r="K711" s="15" t="s">
        <v>22</v>
      </c>
    </row>
    <row r="712" spans="1:11" ht="42" customHeight="1">
      <c r="A712" s="4" t="s">
        <v>1884</v>
      </c>
      <c r="B712" s="5" t="s">
        <v>1884</v>
      </c>
      <c r="C712" s="5" t="s">
        <v>17</v>
      </c>
      <c r="D712" s="5" t="s">
        <v>18</v>
      </c>
      <c r="E712" s="5" t="s">
        <v>378</v>
      </c>
      <c r="F712" s="9">
        <v>65</v>
      </c>
      <c r="G712" s="9">
        <v>730</v>
      </c>
      <c r="H712" s="5" t="s">
        <v>20</v>
      </c>
      <c r="I712" s="5" t="s">
        <v>1885</v>
      </c>
      <c r="J712" s="12" t="str">
        <f>HYPERLINK("https://www.boe.es/gazeta/dias/1804/08/14/pdfs/GMD-1804-65.pdf#page=8","Abrir facsímil")</f>
        <v>Abrir facsímil</v>
      </c>
      <c r="K712" s="15" t="s">
        <v>22</v>
      </c>
    </row>
    <row r="713" spans="1:11" ht="42" customHeight="1">
      <c r="A713" s="4" t="s">
        <v>1886</v>
      </c>
      <c r="B713" s="5" t="s">
        <v>1886</v>
      </c>
      <c r="C713" s="5" t="s">
        <v>27</v>
      </c>
      <c r="D713" s="5" t="s">
        <v>28</v>
      </c>
      <c r="E713" s="5" t="s">
        <v>1278</v>
      </c>
      <c r="F713" s="9">
        <v>37</v>
      </c>
      <c r="G713" s="9">
        <v>411</v>
      </c>
      <c r="H713" s="5" t="s">
        <v>20</v>
      </c>
      <c r="I713" s="5" t="s">
        <v>1887</v>
      </c>
      <c r="J713" s="12" t="str">
        <f>HYPERLINK("https://www.boe.es/gazeta/dias/1804/05/08/pdfs/GMD-1804-37.pdf#page=9","Abrir facsímil")</f>
        <v>Abrir facsímil</v>
      </c>
      <c r="K713" s="15" t="s">
        <v>22</v>
      </c>
    </row>
    <row r="714" spans="1:11" ht="42" customHeight="1">
      <c r="A714" s="4" t="s">
        <v>1888</v>
      </c>
      <c r="B714" s="5" t="s">
        <v>1888</v>
      </c>
      <c r="C714" s="5" t="s">
        <v>17</v>
      </c>
      <c r="D714" s="5" t="s">
        <v>18</v>
      </c>
      <c r="E714" s="5" t="s">
        <v>61</v>
      </c>
      <c r="F714" s="9">
        <v>61</v>
      </c>
      <c r="G714" s="9">
        <v>677</v>
      </c>
      <c r="H714" s="5" t="s">
        <v>20</v>
      </c>
      <c r="I714" s="5" t="s">
        <v>1889</v>
      </c>
      <c r="J714" s="12" t="str">
        <f>HYPERLINK("https://www.boe.es/gazeta/dias/1804/07/31/pdfs/GMD-1804-61.pdf#page=7","Abrir facsímil")</f>
        <v>Abrir facsímil</v>
      </c>
      <c r="K714" s="15" t="s">
        <v>22</v>
      </c>
    </row>
    <row r="715" spans="1:11" ht="42" customHeight="1">
      <c r="A715" s="4" t="s">
        <v>1890</v>
      </c>
      <c r="B715" s="5" t="s">
        <v>1890</v>
      </c>
      <c r="C715" s="5" t="s">
        <v>85</v>
      </c>
      <c r="D715" s="5" t="s">
        <v>86</v>
      </c>
      <c r="E715" s="5" t="s">
        <v>29</v>
      </c>
      <c r="F715" s="9">
        <v>88</v>
      </c>
      <c r="G715" s="9">
        <v>978</v>
      </c>
      <c r="H715" s="5" t="s">
        <v>20</v>
      </c>
      <c r="I715" s="5" t="s">
        <v>1891</v>
      </c>
      <c r="J715" s="12" t="str">
        <f>HYPERLINK("https://www.boe.es/gazeta/dias/1804/11/02/pdfs/GMD-1804-88.pdf#page=10","Abrir facsímil")</f>
        <v>Abrir facsímil</v>
      </c>
      <c r="K715" s="15" t="s">
        <v>22</v>
      </c>
    </row>
    <row r="716" spans="1:11" ht="42" customHeight="1">
      <c r="A716" s="4" t="s">
        <v>1890</v>
      </c>
      <c r="B716" s="5" t="s">
        <v>1890</v>
      </c>
      <c r="C716" s="5" t="s">
        <v>27</v>
      </c>
      <c r="D716" s="5" t="s">
        <v>28</v>
      </c>
      <c r="E716" s="5" t="s">
        <v>1020</v>
      </c>
      <c r="F716" s="9">
        <v>103</v>
      </c>
      <c r="G716" s="9">
        <v>1148</v>
      </c>
      <c r="H716" s="5" t="s">
        <v>20</v>
      </c>
      <c r="I716" s="5" t="s">
        <v>1892</v>
      </c>
      <c r="J716" s="12" t="str">
        <f>HYPERLINK("https://www.boe.es/gazeta/dias/1804/12/25/pdfs/GMD-1804-103.pdf#page=8","Abrir facsímil")</f>
        <v>Abrir facsímil</v>
      </c>
      <c r="K716" s="15" t="s">
        <v>22</v>
      </c>
    </row>
    <row r="717" spans="1:11" ht="42" customHeight="1">
      <c r="A717" s="4" t="s">
        <v>1893</v>
      </c>
      <c r="B717" s="5" t="s">
        <v>1893</v>
      </c>
      <c r="C717" s="5" t="s">
        <v>27</v>
      </c>
      <c r="D717" s="5" t="s">
        <v>28</v>
      </c>
      <c r="E717" s="5" t="s">
        <v>678</v>
      </c>
      <c r="F717" s="9">
        <v>104</v>
      </c>
      <c r="G717" s="9">
        <v>1162</v>
      </c>
      <c r="H717" s="5" t="s">
        <v>20</v>
      </c>
      <c r="I717" s="5" t="s">
        <v>1894</v>
      </c>
      <c r="J717" s="12" t="str">
        <f>HYPERLINK("https://www.boe.es/gazeta/dias/1804/12/28/pdfs/GMD-1804-104.pdf#page=10","Abrir facsímil")</f>
        <v>Abrir facsímil</v>
      </c>
      <c r="K717" s="15" t="s">
        <v>22</v>
      </c>
    </row>
    <row r="718" spans="1:11" ht="42" customHeight="1">
      <c r="A718" s="4" t="s">
        <v>1895</v>
      </c>
      <c r="B718" s="5" t="s">
        <v>1895</v>
      </c>
      <c r="C718" s="5" t="s">
        <v>65</v>
      </c>
      <c r="D718" s="5" t="s">
        <v>66</v>
      </c>
      <c r="E718" s="5" t="s">
        <v>421</v>
      </c>
      <c r="F718" s="9">
        <v>47</v>
      </c>
      <c r="G718" s="9">
        <v>527</v>
      </c>
      <c r="H718" s="5" t="s">
        <v>20</v>
      </c>
      <c r="I718" s="5" t="s">
        <v>1896</v>
      </c>
      <c r="J718" s="12" t="str">
        <f>HYPERLINK("https://www.boe.es/gazeta/dias/1804/06/12/pdfs/GMD-1804-47.pdf#page=9","Abrir facsímil")</f>
        <v>Abrir facsímil</v>
      </c>
      <c r="K718" s="15" t="s">
        <v>22</v>
      </c>
    </row>
    <row r="719" spans="1:11" ht="42" customHeight="1">
      <c r="A719" s="4" t="s">
        <v>1897</v>
      </c>
      <c r="B719" s="5" t="s">
        <v>1897</v>
      </c>
      <c r="C719" s="5" t="s">
        <v>17</v>
      </c>
      <c r="D719" s="5" t="s">
        <v>18</v>
      </c>
      <c r="E719" s="5" t="s">
        <v>421</v>
      </c>
      <c r="F719" s="9">
        <v>47</v>
      </c>
      <c r="G719" s="9">
        <v>527</v>
      </c>
      <c r="H719" s="5" t="s">
        <v>20</v>
      </c>
      <c r="I719" s="5" t="s">
        <v>1898</v>
      </c>
      <c r="J719" s="12" t="str">
        <f>HYPERLINK("https://www.boe.es/gazeta/dias/1804/06/12/pdfs/GMD-1804-47.pdf#page=9","Abrir facsímil")</f>
        <v>Abrir facsímil</v>
      </c>
      <c r="K719" s="15" t="s">
        <v>22</v>
      </c>
    </row>
    <row r="720" spans="1:11" ht="42" customHeight="1">
      <c r="A720" s="4" t="s">
        <v>1899</v>
      </c>
      <c r="B720" s="5" t="s">
        <v>1900</v>
      </c>
      <c r="C720" s="5" t="s">
        <v>27</v>
      </c>
      <c r="D720" s="5" t="s">
        <v>28</v>
      </c>
      <c r="E720" s="5" t="s">
        <v>234</v>
      </c>
      <c r="F720" s="9">
        <v>86</v>
      </c>
      <c r="G720" s="9">
        <v>948</v>
      </c>
      <c r="H720" s="5" t="s">
        <v>20</v>
      </c>
      <c r="I720" s="5" t="s">
        <v>1901</v>
      </c>
      <c r="J720" s="12" t="str">
        <f>HYPERLINK("https://www.boe.es/gazeta/dias/1804/10/26/pdfs/GMD-1804-86.pdf#page=6","Abrir facsímil")</f>
        <v>Abrir facsímil</v>
      </c>
      <c r="K720" s="15" t="s">
        <v>22</v>
      </c>
    </row>
    <row r="721" spans="1:11" ht="42" customHeight="1">
      <c r="A721" s="4" t="s">
        <v>1902</v>
      </c>
      <c r="B721" s="5" t="s">
        <v>1903</v>
      </c>
      <c r="C721" s="5" t="s">
        <v>262</v>
      </c>
      <c r="D721" s="5" t="s">
        <v>263</v>
      </c>
      <c r="E721" s="5" t="s">
        <v>666</v>
      </c>
      <c r="F721" s="9">
        <v>57</v>
      </c>
      <c r="G721" s="9">
        <v>636</v>
      </c>
      <c r="H721" s="5" t="s">
        <v>20</v>
      </c>
      <c r="I721" s="5" t="s">
        <v>1904</v>
      </c>
      <c r="J721" s="12" t="str">
        <f>HYPERLINK("https://www.boe.es/gazeta/dias/1804/07/17/pdfs/GMD-C-1804-57.pdf#page=2","Abrir facsímil")</f>
        <v>Abrir facsímil</v>
      </c>
      <c r="K721" s="15" t="s">
        <v>22</v>
      </c>
    </row>
    <row r="722" spans="1:11" ht="42" customHeight="1">
      <c r="A722" s="4" t="s">
        <v>1905</v>
      </c>
      <c r="B722" s="5" t="s">
        <v>1906</v>
      </c>
      <c r="C722" s="5" t="s">
        <v>17</v>
      </c>
      <c r="D722" s="5" t="s">
        <v>18</v>
      </c>
      <c r="E722" s="5" t="s">
        <v>172</v>
      </c>
      <c r="F722" s="9">
        <v>38</v>
      </c>
      <c r="G722" s="9">
        <v>424</v>
      </c>
      <c r="H722" s="5" t="s">
        <v>20</v>
      </c>
      <c r="I722" s="5" t="s">
        <v>1907</v>
      </c>
      <c r="J722" s="12" t="str">
        <f>HYPERLINK("https://www.boe.es/gazeta/dias/1804/05/11/pdfs/GMD-1804-38.pdf#page=10","Abrir facsímil")</f>
        <v>Abrir facsímil</v>
      </c>
      <c r="K722" s="15" t="s">
        <v>22</v>
      </c>
    </row>
    <row r="723" spans="1:11" ht="42" customHeight="1">
      <c r="A723" s="4" t="s">
        <v>1908</v>
      </c>
      <c r="B723" s="5" t="s">
        <v>1909</v>
      </c>
      <c r="C723" s="5" t="s">
        <v>27</v>
      </c>
      <c r="D723" s="5" t="s">
        <v>28</v>
      </c>
      <c r="E723" s="5" t="s">
        <v>43</v>
      </c>
      <c r="F723" s="9">
        <v>84</v>
      </c>
      <c r="G723" s="9">
        <v>928</v>
      </c>
      <c r="H723" s="5" t="s">
        <v>20</v>
      </c>
      <c r="I723" s="5" t="s">
        <v>1910</v>
      </c>
      <c r="J723" s="12" t="str">
        <f>HYPERLINK("https://www.boe.es/gazeta/dias/1804/10/19/pdfs/GMD-1804-84.pdf#page=6","Abrir facsímil")</f>
        <v>Abrir facsímil</v>
      </c>
      <c r="K723" s="15" t="s">
        <v>22</v>
      </c>
    </row>
    <row r="724" spans="1:11" ht="42" customHeight="1">
      <c r="A724" s="4" t="s">
        <v>1911</v>
      </c>
      <c r="B724" s="5" t="s">
        <v>1912</v>
      </c>
      <c r="C724" s="5" t="s">
        <v>57</v>
      </c>
      <c r="D724" s="5" t="s">
        <v>58</v>
      </c>
      <c r="E724" s="5" t="s">
        <v>794</v>
      </c>
      <c r="F724" s="9">
        <v>42</v>
      </c>
      <c r="G724" s="9">
        <v>468</v>
      </c>
      <c r="H724" s="5" t="s">
        <v>20</v>
      </c>
      <c r="I724" s="5" t="s">
        <v>1913</v>
      </c>
      <c r="J724" s="12" t="str">
        <f>HYPERLINK("https://www.boe.es/gazeta/dias/1804/05/25/pdfs/GMD-1804-42.pdf#page=6","Abrir facsímil")</f>
        <v>Abrir facsímil</v>
      </c>
      <c r="K724" s="15" t="s">
        <v>22</v>
      </c>
    </row>
    <row r="725" spans="1:11" ht="42" customHeight="1">
      <c r="A725" s="4" t="s">
        <v>1914</v>
      </c>
      <c r="B725" s="5" t="s">
        <v>1915</v>
      </c>
      <c r="C725" s="5" t="s">
        <v>65</v>
      </c>
      <c r="D725" s="5" t="s">
        <v>66</v>
      </c>
      <c r="E725" s="5" t="s">
        <v>147</v>
      </c>
      <c r="F725" s="9">
        <v>77</v>
      </c>
      <c r="G725" s="9">
        <v>858</v>
      </c>
      <c r="H725" s="5" t="s">
        <v>20</v>
      </c>
      <c r="I725" s="5" t="s">
        <v>1916</v>
      </c>
      <c r="J725" s="12" t="str">
        <f>HYPERLINK("https://www.boe.es/gazeta/dias/1804/09/25/pdfs/GMD-1804-77.pdf#page=8","Abrir facsímil")</f>
        <v>Abrir facsímil</v>
      </c>
      <c r="K725" s="15" t="s">
        <v>22</v>
      </c>
    </row>
    <row r="726" spans="1:11" ht="42" customHeight="1">
      <c r="A726" s="4" t="s">
        <v>1917</v>
      </c>
      <c r="B726" s="5" t="s">
        <v>1918</v>
      </c>
      <c r="C726" s="5" t="s">
        <v>27</v>
      </c>
      <c r="D726" s="5" t="s">
        <v>28</v>
      </c>
      <c r="E726" s="5" t="s">
        <v>91</v>
      </c>
      <c r="F726" s="9">
        <v>72</v>
      </c>
      <c r="G726" s="9">
        <v>806</v>
      </c>
      <c r="H726" s="5" t="s">
        <v>20</v>
      </c>
      <c r="I726" s="5" t="s">
        <v>1919</v>
      </c>
      <c r="J726" s="12" t="str">
        <f>HYPERLINK("https://www.boe.es/gazeta/dias/1804/09/07/pdfs/GMD-1804-72.pdf#page=8","Abrir facsímil")</f>
        <v>Abrir facsímil</v>
      </c>
      <c r="K726" s="15" t="s">
        <v>22</v>
      </c>
    </row>
    <row r="727" spans="1:11" ht="42" customHeight="1">
      <c r="A727" s="4" t="s">
        <v>1920</v>
      </c>
      <c r="B727" s="5" t="s">
        <v>1921</v>
      </c>
      <c r="C727" s="5" t="s">
        <v>57</v>
      </c>
      <c r="D727" s="5" t="s">
        <v>58</v>
      </c>
      <c r="E727" s="5" t="s">
        <v>216</v>
      </c>
      <c r="F727" s="9">
        <v>67</v>
      </c>
      <c r="G727" s="9">
        <v>746</v>
      </c>
      <c r="H727" s="5" t="s">
        <v>20</v>
      </c>
      <c r="I727" s="5" t="s">
        <v>1922</v>
      </c>
      <c r="J727" s="12" t="str">
        <f>HYPERLINK("https://www.boe.es/gazeta/dias/1804/08/21/pdfs/GMD-1804-67.pdf#page=4","Abrir facsímil")</f>
        <v>Abrir facsímil</v>
      </c>
      <c r="K727" s="15" t="s">
        <v>22</v>
      </c>
    </row>
    <row r="728" spans="1:11" ht="42" customHeight="1">
      <c r="A728" s="4" t="s">
        <v>1923</v>
      </c>
      <c r="B728" s="5" t="s">
        <v>1924</v>
      </c>
      <c r="C728" s="5" t="s">
        <v>27</v>
      </c>
      <c r="D728" s="5" t="s">
        <v>28</v>
      </c>
      <c r="E728" s="5" t="s">
        <v>670</v>
      </c>
      <c r="F728" s="9">
        <v>41</v>
      </c>
      <c r="G728" s="9">
        <v>458</v>
      </c>
      <c r="H728" s="5" t="s">
        <v>20</v>
      </c>
      <c r="I728" s="5" t="s">
        <v>1925</v>
      </c>
      <c r="J728" s="12" t="str">
        <f>HYPERLINK("https://www.boe.es/gazeta/dias/1804/05/22/pdfs/GMD-1804-41.pdf#page=8","Abrir facsímil")</f>
        <v>Abrir facsímil</v>
      </c>
      <c r="K728" s="15" t="s">
        <v>22</v>
      </c>
    </row>
    <row r="729" spans="1:11" ht="42" customHeight="1">
      <c r="A729" s="4" t="s">
        <v>1926</v>
      </c>
      <c r="B729" s="5" t="s">
        <v>1927</v>
      </c>
      <c r="C729" s="5" t="s">
        <v>57</v>
      </c>
      <c r="D729" s="5" t="s">
        <v>58</v>
      </c>
      <c r="E729" s="5" t="s">
        <v>298</v>
      </c>
      <c r="F729" s="9">
        <v>10</v>
      </c>
      <c r="G729" s="9">
        <v>103</v>
      </c>
      <c r="H729" s="5" t="s">
        <v>20</v>
      </c>
      <c r="I729" s="5" t="s">
        <v>1928</v>
      </c>
      <c r="J729" s="12" t="str">
        <f>HYPERLINK("https://www.boe.es/gazeta/dias/1804/02/03/pdfs/GMD-1804-10.pdf#page=3","Abrir facsímil")</f>
        <v>Abrir facsímil</v>
      </c>
      <c r="K729" s="15" t="s">
        <v>22</v>
      </c>
    </row>
    <row r="730" spans="1:11" ht="42" customHeight="1">
      <c r="A730" s="4" t="s">
        <v>1926</v>
      </c>
      <c r="B730" s="5" t="s">
        <v>1927</v>
      </c>
      <c r="C730" s="5" t="s">
        <v>57</v>
      </c>
      <c r="D730" s="5" t="s">
        <v>58</v>
      </c>
      <c r="E730" s="5" t="s">
        <v>103</v>
      </c>
      <c r="F730" s="9">
        <v>11</v>
      </c>
      <c r="G730" s="9">
        <v>118</v>
      </c>
      <c r="H730" s="5" t="s">
        <v>20</v>
      </c>
      <c r="I730" s="5" t="s">
        <v>1929</v>
      </c>
      <c r="J730" s="12" t="str">
        <f>HYPERLINK("https://www.boe.es/gazeta/dias/1804/02/07/pdfs/GMD-1804-11.pdf#page=6","Abrir facsímil")</f>
        <v>Abrir facsímil</v>
      </c>
      <c r="K730" s="15" t="s">
        <v>22</v>
      </c>
    </row>
    <row r="731" spans="1:11" ht="42" customHeight="1">
      <c r="A731" s="4" t="s">
        <v>1926</v>
      </c>
      <c r="B731" s="5" t="s">
        <v>1927</v>
      </c>
      <c r="C731" s="5" t="s">
        <v>57</v>
      </c>
      <c r="D731" s="5" t="s">
        <v>58</v>
      </c>
      <c r="E731" s="5" t="s">
        <v>704</v>
      </c>
      <c r="F731" s="9">
        <v>36</v>
      </c>
      <c r="G731" s="9">
        <v>396</v>
      </c>
      <c r="H731" s="5" t="s">
        <v>20</v>
      </c>
      <c r="I731" s="5" t="s">
        <v>1930</v>
      </c>
      <c r="J731" s="12" t="str">
        <f>HYPERLINK("https://www.boe.es/gazeta/dias/1804/05/04/pdfs/GMD-1804-36.pdf#page=6","Abrir facsímil")</f>
        <v>Abrir facsímil</v>
      </c>
      <c r="K731" s="15" t="s">
        <v>22</v>
      </c>
    </row>
    <row r="732" spans="1:11" ht="42" customHeight="1">
      <c r="A732" s="4" t="s">
        <v>1926</v>
      </c>
      <c r="B732" s="5" t="s">
        <v>1927</v>
      </c>
      <c r="C732" s="5" t="s">
        <v>57</v>
      </c>
      <c r="D732" s="5" t="s">
        <v>58</v>
      </c>
      <c r="E732" s="5" t="s">
        <v>1278</v>
      </c>
      <c r="F732" s="9">
        <v>37</v>
      </c>
      <c r="G732" s="9">
        <v>408</v>
      </c>
      <c r="H732" s="5" t="s">
        <v>20</v>
      </c>
      <c r="I732" s="5" t="s">
        <v>1931</v>
      </c>
      <c r="J732" s="12" t="str">
        <f>HYPERLINK("https://www.boe.es/gazeta/dias/1804/05/08/pdfs/GMD-1804-37.pdf#page=6","Abrir facsímil")</f>
        <v>Abrir facsímil</v>
      </c>
      <c r="K732" s="15" t="s">
        <v>22</v>
      </c>
    </row>
    <row r="733" spans="1:11" ht="42" customHeight="1">
      <c r="A733" s="4" t="s">
        <v>1926</v>
      </c>
      <c r="B733" s="5" t="s">
        <v>1927</v>
      </c>
      <c r="C733" s="5" t="s">
        <v>17</v>
      </c>
      <c r="D733" s="5" t="s">
        <v>18</v>
      </c>
      <c r="E733" s="5" t="s">
        <v>421</v>
      </c>
      <c r="F733" s="9">
        <v>47</v>
      </c>
      <c r="G733" s="9">
        <v>524</v>
      </c>
      <c r="H733" s="5" t="s">
        <v>20</v>
      </c>
      <c r="I733" s="5" t="s">
        <v>1932</v>
      </c>
      <c r="J733" s="12" t="str">
        <f>HYPERLINK("https://www.boe.es/gazeta/dias/1804/06/12/pdfs/GMD-1804-47.pdf#page=6","Abrir facsímil")</f>
        <v>Abrir facsímil</v>
      </c>
      <c r="K733" s="15" t="s">
        <v>22</v>
      </c>
    </row>
    <row r="734" spans="1:11" ht="42" customHeight="1">
      <c r="A734" s="4" t="s">
        <v>1926</v>
      </c>
      <c r="B734" s="5" t="s">
        <v>1927</v>
      </c>
      <c r="C734" s="5" t="s">
        <v>27</v>
      </c>
      <c r="D734" s="5" t="s">
        <v>28</v>
      </c>
      <c r="E734" s="5" t="s">
        <v>666</v>
      </c>
      <c r="F734" s="9">
        <v>57</v>
      </c>
      <c r="G734" s="9">
        <v>626</v>
      </c>
      <c r="H734" s="5" t="s">
        <v>20</v>
      </c>
      <c r="I734" s="5" t="s">
        <v>1933</v>
      </c>
      <c r="J734" s="12" t="str">
        <f>HYPERLINK("https://www.boe.es/gazeta/dias/1804/07/17/pdfs/GMD-1804-57.pdf#page=4","Abrir facsímil")</f>
        <v>Abrir facsímil</v>
      </c>
      <c r="K734" s="15" t="s">
        <v>22</v>
      </c>
    </row>
    <row r="735" spans="1:11" ht="42" customHeight="1">
      <c r="A735" s="4" t="s">
        <v>1926</v>
      </c>
      <c r="B735" s="5" t="s">
        <v>1927</v>
      </c>
      <c r="C735" s="5" t="s">
        <v>57</v>
      </c>
      <c r="D735" s="5" t="s">
        <v>58</v>
      </c>
      <c r="E735" s="5" t="s">
        <v>216</v>
      </c>
      <c r="F735" s="9">
        <v>67</v>
      </c>
      <c r="G735" s="9">
        <v>747</v>
      </c>
      <c r="H735" s="5" t="s">
        <v>20</v>
      </c>
      <c r="I735" s="5" t="s">
        <v>1934</v>
      </c>
      <c r="J735" s="12" t="str">
        <f>HYPERLINK("https://www.boe.es/gazeta/dias/1804/08/21/pdfs/GMD-1804-67.pdf#page=5","Abrir facsímil")</f>
        <v>Abrir facsímil</v>
      </c>
      <c r="K735" s="15" t="s">
        <v>22</v>
      </c>
    </row>
    <row r="736" spans="1:11" ht="42" customHeight="1">
      <c r="A736" s="4" t="s">
        <v>1935</v>
      </c>
      <c r="B736" s="5" t="s">
        <v>1936</v>
      </c>
      <c r="C736" s="5" t="s">
        <v>85</v>
      </c>
      <c r="D736" s="5" t="s">
        <v>86</v>
      </c>
      <c r="E736" s="5" t="s">
        <v>23</v>
      </c>
      <c r="F736" s="9">
        <v>91</v>
      </c>
      <c r="G736" s="9">
        <v>1012</v>
      </c>
      <c r="H736" s="5" t="s">
        <v>20</v>
      </c>
      <c r="I736" s="5" t="s">
        <v>1937</v>
      </c>
      <c r="J736" s="12" t="str">
        <f>HYPERLINK("https://www.boe.es/gazeta/dias/1804/11/13/pdfs/GMD-1804-91.pdf#page=12","Abrir facsímil")</f>
        <v>Abrir facsímil</v>
      </c>
      <c r="K736" s="15" t="s">
        <v>22</v>
      </c>
    </row>
    <row r="737" spans="1:11" ht="42" customHeight="1">
      <c r="A737" s="4" t="s">
        <v>1938</v>
      </c>
      <c r="B737" s="5" t="s">
        <v>1939</v>
      </c>
      <c r="C737" s="5" t="s">
        <v>120</v>
      </c>
      <c r="D737" s="5" t="s">
        <v>121</v>
      </c>
      <c r="E737" s="5" t="s">
        <v>33</v>
      </c>
      <c r="F737" s="9">
        <v>48</v>
      </c>
      <c r="G737" s="9" t="s">
        <v>98</v>
      </c>
      <c r="H737" s="5" t="s">
        <v>20</v>
      </c>
      <c r="I737" s="5" t="s">
        <v>1940</v>
      </c>
      <c r="J737" s="12" t="str">
        <f>HYPERLINK("https://www.boe.es/gazeta/dias/1804/06/15/pdfs/GMD-C-1804-48.pdf#page=1","Abrir facsímil")</f>
        <v>Abrir facsímil</v>
      </c>
      <c r="K737" s="15" t="s">
        <v>22</v>
      </c>
    </row>
    <row r="738" spans="1:11" ht="42" customHeight="1">
      <c r="A738" s="4" t="s">
        <v>1941</v>
      </c>
      <c r="B738" s="5" t="s">
        <v>1941</v>
      </c>
      <c r="C738" s="5" t="s">
        <v>65</v>
      </c>
      <c r="D738" s="5" t="s">
        <v>66</v>
      </c>
      <c r="E738" s="5" t="s">
        <v>623</v>
      </c>
      <c r="F738" s="9">
        <v>51</v>
      </c>
      <c r="G738" s="9">
        <v>565</v>
      </c>
      <c r="H738" s="5" t="s">
        <v>20</v>
      </c>
      <c r="I738" s="5" t="s">
        <v>1942</v>
      </c>
      <c r="J738" s="12" t="str">
        <f>HYPERLINK("https://www.boe.es/gazeta/dias/1804/06/26/pdfs/GMD-1804-51.pdf#page=11","Abrir facsímil")</f>
        <v>Abrir facsímil</v>
      </c>
      <c r="K738" s="15" t="s">
        <v>22</v>
      </c>
    </row>
    <row r="739" spans="1:11" ht="42" customHeight="1">
      <c r="A739" s="4" t="s">
        <v>1943</v>
      </c>
      <c r="B739" s="5" t="s">
        <v>1943</v>
      </c>
      <c r="C739" s="5" t="s">
        <v>65</v>
      </c>
      <c r="D739" s="5" t="s">
        <v>66</v>
      </c>
      <c r="E739" s="5" t="s">
        <v>298</v>
      </c>
      <c r="F739" s="9">
        <v>10</v>
      </c>
      <c r="G739" s="9">
        <v>111</v>
      </c>
      <c r="H739" s="5" t="s">
        <v>20</v>
      </c>
      <c r="I739" s="5" t="s">
        <v>1944</v>
      </c>
      <c r="J739" s="12" t="str">
        <f>HYPERLINK("https://www.boe.es/gazeta/dias/1804/02/03/pdfs/GMD-1804-10.pdf#page=11","Abrir facsímil")</f>
        <v>Abrir facsímil</v>
      </c>
      <c r="K739" s="15" t="s">
        <v>22</v>
      </c>
    </row>
    <row r="740" spans="1:11" ht="42" customHeight="1">
      <c r="A740" s="4" t="s">
        <v>1945</v>
      </c>
      <c r="B740" s="5" t="s">
        <v>1945</v>
      </c>
      <c r="C740" s="5" t="s">
        <v>262</v>
      </c>
      <c r="D740" s="5" t="s">
        <v>263</v>
      </c>
      <c r="E740" s="5" t="s">
        <v>398</v>
      </c>
      <c r="F740" s="9">
        <v>22</v>
      </c>
      <c r="G740" s="9">
        <v>250</v>
      </c>
      <c r="H740" s="5" t="s">
        <v>20</v>
      </c>
      <c r="I740" s="5" t="s">
        <v>1946</v>
      </c>
      <c r="J740" s="12" t="str">
        <f>HYPERLINK("https://www.boe.es/gazeta/dias/1804/03/16/pdfs/GMD-C-1804-22.pdf#page=2","Abrir facsímil")</f>
        <v>Abrir facsímil</v>
      </c>
      <c r="K740" s="15" t="s">
        <v>22</v>
      </c>
    </row>
    <row r="741" spans="1:11" ht="42" customHeight="1">
      <c r="A741" s="4" t="s">
        <v>1947</v>
      </c>
      <c r="B741" s="5" t="s">
        <v>1947</v>
      </c>
      <c r="C741" s="5" t="s">
        <v>262</v>
      </c>
      <c r="D741" s="5" t="s">
        <v>263</v>
      </c>
      <c r="E741" s="5" t="s">
        <v>666</v>
      </c>
      <c r="F741" s="9">
        <v>57</v>
      </c>
      <c r="G741" s="9">
        <v>636</v>
      </c>
      <c r="H741" s="5" t="s">
        <v>20</v>
      </c>
      <c r="I741" s="5" t="s">
        <v>1948</v>
      </c>
      <c r="J741" s="12" t="str">
        <f>HYPERLINK("https://www.boe.es/gazeta/dias/1804/07/17/pdfs/GMD-C-1804-57.pdf#page=2","Abrir facsímil")</f>
        <v>Abrir facsímil</v>
      </c>
      <c r="K741" s="15" t="s">
        <v>22</v>
      </c>
    </row>
    <row r="742" spans="1:11" ht="42" customHeight="1">
      <c r="A742" s="4" t="s">
        <v>1947</v>
      </c>
      <c r="B742" s="5" t="s">
        <v>1947</v>
      </c>
      <c r="C742" s="5" t="s">
        <v>17</v>
      </c>
      <c r="D742" s="5" t="s">
        <v>18</v>
      </c>
      <c r="E742" s="5" t="s">
        <v>155</v>
      </c>
      <c r="F742" s="9">
        <v>92</v>
      </c>
      <c r="G742" s="9">
        <v>1022</v>
      </c>
      <c r="H742" s="5" t="s">
        <v>20</v>
      </c>
      <c r="I742" s="5" t="s">
        <v>1949</v>
      </c>
      <c r="J742" s="12" t="str">
        <f>HYPERLINK("https://www.boe.es/gazeta/dias/1804/11/16/pdfs/GMD-1804-92.pdf#page=10","Abrir facsímil")</f>
        <v>Abrir facsímil</v>
      </c>
      <c r="K742" s="15" t="s">
        <v>22</v>
      </c>
    </row>
    <row r="743" spans="1:11" ht="42" customHeight="1">
      <c r="A743" s="4" t="s">
        <v>1950</v>
      </c>
      <c r="B743" s="5" t="s">
        <v>1951</v>
      </c>
      <c r="C743" s="5" t="s">
        <v>57</v>
      </c>
      <c r="D743" s="5" t="s">
        <v>58</v>
      </c>
      <c r="E743" s="5" t="s">
        <v>87</v>
      </c>
      <c r="F743" s="9">
        <v>9</v>
      </c>
      <c r="G743" s="9">
        <v>89</v>
      </c>
      <c r="H743" s="5" t="s">
        <v>20</v>
      </c>
      <c r="I743" s="5" t="s">
        <v>1952</v>
      </c>
      <c r="J743" s="12" t="str">
        <f>HYPERLINK("https://www.boe.es/gazeta/dias/1804/01/31/pdfs/GMD-1804-9.pdf#page=1","Abrir facsímil")</f>
        <v>Abrir facsímil</v>
      </c>
      <c r="K743" s="15" t="s">
        <v>22</v>
      </c>
    </row>
    <row r="744" spans="1:11" ht="42" customHeight="1">
      <c r="A744" s="4" t="s">
        <v>1953</v>
      </c>
      <c r="B744" s="5" t="s">
        <v>1953</v>
      </c>
      <c r="C744" s="5" t="s">
        <v>85</v>
      </c>
      <c r="D744" s="5" t="s">
        <v>86</v>
      </c>
      <c r="E744" s="5" t="s">
        <v>208</v>
      </c>
      <c r="F744" s="9">
        <v>97</v>
      </c>
      <c r="G744" s="9">
        <v>1083</v>
      </c>
      <c r="H744" s="5" t="s">
        <v>20</v>
      </c>
      <c r="I744" s="5" t="s">
        <v>1954</v>
      </c>
      <c r="J744" s="12" t="str">
        <f>HYPERLINK("https://www.boe.es/gazeta/dias/1804/12/04/pdfs/GMD-1804-97.pdf#page=11","Abrir facsímil")</f>
        <v>Abrir facsímil</v>
      </c>
      <c r="K744" s="15" t="s">
        <v>22</v>
      </c>
    </row>
    <row r="745" spans="1:11" ht="42" customHeight="1">
      <c r="A745" s="4" t="s">
        <v>1955</v>
      </c>
      <c r="B745" s="5" t="s">
        <v>1955</v>
      </c>
      <c r="C745" s="5" t="s">
        <v>57</v>
      </c>
      <c r="D745" s="5" t="s">
        <v>58</v>
      </c>
      <c r="E745" s="5" t="s">
        <v>637</v>
      </c>
      <c r="F745" s="9">
        <v>74</v>
      </c>
      <c r="G745" s="9">
        <v>828</v>
      </c>
      <c r="H745" s="5" t="s">
        <v>20</v>
      </c>
      <c r="I745" s="5" t="s">
        <v>1956</v>
      </c>
      <c r="J745" s="12" t="str">
        <f>HYPERLINK("https://www.boe.es/gazeta/dias/1804/09/14/pdfs/GMD-1804-74.pdf#page=6","Abrir facsímil")</f>
        <v>Abrir facsímil</v>
      </c>
      <c r="K745" s="15" t="s">
        <v>22</v>
      </c>
    </row>
    <row r="746" spans="1:11" ht="42" customHeight="1">
      <c r="A746" s="4" t="s">
        <v>1957</v>
      </c>
      <c r="B746" s="5" t="s">
        <v>1958</v>
      </c>
      <c r="C746" s="5" t="s">
        <v>17</v>
      </c>
      <c r="D746" s="5" t="s">
        <v>18</v>
      </c>
      <c r="E746" s="5" t="s">
        <v>182</v>
      </c>
      <c r="F746" s="9">
        <v>21</v>
      </c>
      <c r="G746" s="9">
        <v>232</v>
      </c>
      <c r="H746" s="5" t="s">
        <v>20</v>
      </c>
      <c r="I746" s="5" t="s">
        <v>1959</v>
      </c>
      <c r="J746" s="12" t="str">
        <f>HYPERLINK("https://www.boe.es/gazeta/dias/1804/03/13/pdfs/GMD-1804-21.pdf#page=8","Abrir facsímil")</f>
        <v>Abrir facsímil</v>
      </c>
      <c r="K746" s="15" t="s">
        <v>22</v>
      </c>
    </row>
    <row r="747" spans="1:11" ht="42" customHeight="1">
      <c r="A747" s="4" t="s">
        <v>1960</v>
      </c>
      <c r="B747" s="5" t="s">
        <v>1960</v>
      </c>
      <c r="C747" s="5" t="s">
        <v>57</v>
      </c>
      <c r="D747" s="5" t="s">
        <v>58</v>
      </c>
      <c r="E747" s="5" t="s">
        <v>526</v>
      </c>
      <c r="F747" s="9">
        <v>95</v>
      </c>
      <c r="G747" s="9">
        <v>1049</v>
      </c>
      <c r="H747" s="5" t="s">
        <v>20</v>
      </c>
      <c r="I747" s="5" t="s">
        <v>1961</v>
      </c>
      <c r="J747" s="12" t="str">
        <f>HYPERLINK("https://www.boe.es/gazeta/dias/1804/11/27/pdfs/GMD-1804-95.pdf#page=1","Abrir facsímil")</f>
        <v>Abrir facsímil</v>
      </c>
      <c r="K747" s="15" t="s">
        <v>22</v>
      </c>
    </row>
    <row r="748" spans="1:11" ht="42" customHeight="1">
      <c r="A748" s="4" t="s">
        <v>1962</v>
      </c>
      <c r="B748" s="5" t="s">
        <v>1963</v>
      </c>
      <c r="C748" s="5" t="s">
        <v>198</v>
      </c>
      <c r="D748" s="5" t="s">
        <v>66</v>
      </c>
      <c r="E748" s="5" t="s">
        <v>704</v>
      </c>
      <c r="F748" s="9">
        <v>36</v>
      </c>
      <c r="G748" s="9">
        <v>393</v>
      </c>
      <c r="H748" s="5" t="s">
        <v>20</v>
      </c>
      <c r="I748" s="5" t="s">
        <v>1964</v>
      </c>
      <c r="J748" s="12" t="str">
        <f>HYPERLINK("https://www.boe.es/gazeta/dias/1804/05/04/pdfs/GMD-1804-36.pdf#page=3","Abrir facsímil")</f>
        <v>Abrir facsímil</v>
      </c>
      <c r="K748" s="15" t="s">
        <v>22</v>
      </c>
    </row>
    <row r="749" spans="1:11" ht="42" customHeight="1">
      <c r="A749" s="4" t="s">
        <v>1965</v>
      </c>
      <c r="B749" s="5" t="s">
        <v>1966</v>
      </c>
      <c r="C749" s="5" t="s">
        <v>27</v>
      </c>
      <c r="D749" s="5" t="s">
        <v>28</v>
      </c>
      <c r="E749" s="5" t="s">
        <v>317</v>
      </c>
      <c r="F749" s="9">
        <v>56</v>
      </c>
      <c r="G749" s="9">
        <v>620</v>
      </c>
      <c r="H749" s="5" t="s">
        <v>20</v>
      </c>
      <c r="I749" s="5" t="s">
        <v>1967</v>
      </c>
      <c r="J749" s="12" t="str">
        <f>HYPERLINK("https://www.boe.es/gazeta/dias/1804/07/13/pdfs/GMD-1804-56.pdf#page=6","Abrir facsímil")</f>
        <v>Abrir facsímil</v>
      </c>
      <c r="K749" s="15" t="s">
        <v>22</v>
      </c>
    </row>
    <row r="750" spans="1:11" ht="42" customHeight="1">
      <c r="A750" s="4" t="s">
        <v>1965</v>
      </c>
      <c r="B750" s="5" t="s">
        <v>1966</v>
      </c>
      <c r="C750" s="5" t="s">
        <v>85</v>
      </c>
      <c r="D750" s="5" t="s">
        <v>86</v>
      </c>
      <c r="E750" s="5" t="s">
        <v>1095</v>
      </c>
      <c r="F750" s="9">
        <v>73</v>
      </c>
      <c r="G750" s="9">
        <v>818</v>
      </c>
      <c r="H750" s="5" t="s">
        <v>20</v>
      </c>
      <c r="I750" s="5" t="s">
        <v>1968</v>
      </c>
      <c r="J750" s="12" t="str">
        <f>HYPERLINK("https://www.boe.es/gazeta/dias/1804/09/11/pdfs/GMD-1804-73.pdf#page=8","Abrir facsímil")</f>
        <v>Abrir facsímil</v>
      </c>
      <c r="K750" s="15" t="s">
        <v>22</v>
      </c>
    </row>
    <row r="751" spans="1:11" ht="42" customHeight="1">
      <c r="A751" s="4" t="s">
        <v>1969</v>
      </c>
      <c r="B751" s="5" t="s">
        <v>1970</v>
      </c>
      <c r="C751" s="5" t="s">
        <v>85</v>
      </c>
      <c r="D751" s="5" t="s">
        <v>86</v>
      </c>
      <c r="E751" s="5" t="s">
        <v>360</v>
      </c>
      <c r="F751" s="9">
        <v>81</v>
      </c>
      <c r="G751" s="9">
        <v>898</v>
      </c>
      <c r="H751" s="5" t="s">
        <v>20</v>
      </c>
      <c r="I751" s="5" t="s">
        <v>1971</v>
      </c>
      <c r="J751" s="12" t="str">
        <f>HYPERLINK("https://www.boe.es/gazeta/dias/1804/10/09/pdfs/GMD-1804-81.pdf#page=8","Abrir facsímil")</f>
        <v>Abrir facsímil</v>
      </c>
      <c r="K751" s="15" t="s">
        <v>22</v>
      </c>
    </row>
    <row r="752" spans="1:11" ht="42" customHeight="1">
      <c r="A752" s="4" t="s">
        <v>1969</v>
      </c>
      <c r="B752" s="5" t="s">
        <v>1970</v>
      </c>
      <c r="C752" s="5" t="s">
        <v>85</v>
      </c>
      <c r="D752" s="5" t="s">
        <v>86</v>
      </c>
      <c r="E752" s="5" t="s">
        <v>709</v>
      </c>
      <c r="F752" s="9">
        <v>82</v>
      </c>
      <c r="G752" s="9">
        <v>910</v>
      </c>
      <c r="H752" s="5" t="s">
        <v>20</v>
      </c>
      <c r="I752" s="5" t="s">
        <v>1972</v>
      </c>
      <c r="J752" s="12" t="str">
        <f>HYPERLINK("https://www.boe.es/gazeta/dias/1804/10/12/pdfs/GMD-1804-82.pdf#page=12","Abrir facsímil")</f>
        <v>Abrir facsímil</v>
      </c>
      <c r="K752" s="15" t="s">
        <v>22</v>
      </c>
    </row>
    <row r="753" spans="1:11" ht="42" customHeight="1">
      <c r="A753" s="4" t="s">
        <v>1973</v>
      </c>
      <c r="B753" s="5" t="s">
        <v>1974</v>
      </c>
      <c r="C753" s="5" t="s">
        <v>27</v>
      </c>
      <c r="D753" s="5" t="s">
        <v>28</v>
      </c>
      <c r="E753" s="5" t="s">
        <v>143</v>
      </c>
      <c r="F753" s="9">
        <v>87</v>
      </c>
      <c r="G753" s="9">
        <v>963</v>
      </c>
      <c r="H753" s="5" t="s">
        <v>20</v>
      </c>
      <c r="I753" s="5" t="s">
        <v>1975</v>
      </c>
      <c r="J753" s="12" t="str">
        <f>HYPERLINK("https://www.boe.es/gazeta/dias/1804/10/30/pdfs/GMD-1804-87.pdf#page=7","Abrir facsímil")</f>
        <v>Abrir facsímil</v>
      </c>
      <c r="K753" s="15" t="s">
        <v>22</v>
      </c>
    </row>
    <row r="754" spans="1:11" ht="42" customHeight="1">
      <c r="A754" s="4" t="s">
        <v>1976</v>
      </c>
      <c r="B754" s="5" t="s">
        <v>1977</v>
      </c>
      <c r="C754" s="5" t="s">
        <v>27</v>
      </c>
      <c r="D754" s="5" t="s">
        <v>28</v>
      </c>
      <c r="E754" s="5" t="s">
        <v>178</v>
      </c>
      <c r="F754" s="9">
        <v>20</v>
      </c>
      <c r="G754" s="9">
        <v>220</v>
      </c>
      <c r="H754" s="5" t="s">
        <v>20</v>
      </c>
      <c r="I754" s="5" t="s">
        <v>1978</v>
      </c>
      <c r="J754" s="12" t="str">
        <f>HYPERLINK("https://www.boe.es/gazeta/dias/1804/03/09/pdfs/GMD-1804-20.pdf#page=8","Abrir facsímil")</f>
        <v>Abrir facsímil</v>
      </c>
      <c r="K754" s="15" t="s">
        <v>22</v>
      </c>
    </row>
    <row r="755" spans="1:11" ht="42" customHeight="1">
      <c r="A755" s="4" t="s">
        <v>1979</v>
      </c>
      <c r="B755" s="5" t="s">
        <v>1980</v>
      </c>
      <c r="C755" s="5" t="s">
        <v>27</v>
      </c>
      <c r="D755" s="5" t="s">
        <v>28</v>
      </c>
      <c r="E755" s="5" t="s">
        <v>398</v>
      </c>
      <c r="F755" s="9">
        <v>22</v>
      </c>
      <c r="G755" s="9">
        <v>244</v>
      </c>
      <c r="H755" s="5" t="s">
        <v>20</v>
      </c>
      <c r="I755" s="5" t="s">
        <v>1981</v>
      </c>
      <c r="J755" s="12" t="str">
        <f>HYPERLINK("https://www.boe.es/gazeta/dias/1804/03/16/pdfs/GMD-1804-22.pdf#page=8","Abrir facsímil")</f>
        <v>Abrir facsímil</v>
      </c>
      <c r="K755" s="15" t="s">
        <v>22</v>
      </c>
    </row>
    <row r="756" spans="1:11" ht="42" customHeight="1">
      <c r="A756" s="4" t="s">
        <v>1982</v>
      </c>
      <c r="B756" s="5" t="s">
        <v>1983</v>
      </c>
      <c r="C756" s="5" t="s">
        <v>57</v>
      </c>
      <c r="D756" s="5" t="s">
        <v>58</v>
      </c>
      <c r="E756" s="5" t="s">
        <v>736</v>
      </c>
      <c r="F756" s="9">
        <v>83</v>
      </c>
      <c r="G756" s="9">
        <v>917</v>
      </c>
      <c r="H756" s="5" t="s">
        <v>20</v>
      </c>
      <c r="I756" s="5" t="s">
        <v>1984</v>
      </c>
      <c r="J756" s="12" t="str">
        <f>HYPERLINK("https://www.boe.es/gazeta/dias/1804/10/16/pdfs/GMD-1804-83.pdf#page=7","Abrir facsímil")</f>
        <v>Abrir facsímil</v>
      </c>
      <c r="K756" s="15" t="s">
        <v>22</v>
      </c>
    </row>
    <row r="757" spans="1:11" ht="42" customHeight="1">
      <c r="A757" s="4" t="s">
        <v>1985</v>
      </c>
      <c r="B757" s="5" t="s">
        <v>1985</v>
      </c>
      <c r="C757" s="5" t="s">
        <v>57</v>
      </c>
      <c r="D757" s="5" t="s">
        <v>58</v>
      </c>
      <c r="E757" s="5" t="s">
        <v>208</v>
      </c>
      <c r="F757" s="9">
        <v>97</v>
      </c>
      <c r="G757" s="9">
        <v>1074</v>
      </c>
      <c r="H757" s="5" t="s">
        <v>20</v>
      </c>
      <c r="I757" s="5" t="s">
        <v>1986</v>
      </c>
      <c r="J757" s="12" t="str">
        <f>HYPERLINK("https://www.boe.es/gazeta/dias/1804/12/04/pdfs/GMD-1804-97.pdf#page=2","Abrir facsímil")</f>
        <v>Abrir facsímil</v>
      </c>
      <c r="K757" s="15" t="s">
        <v>22</v>
      </c>
    </row>
    <row r="758" spans="1:11" ht="42" customHeight="1">
      <c r="A758" s="4" t="s">
        <v>1987</v>
      </c>
      <c r="B758" s="5" t="s">
        <v>1988</v>
      </c>
      <c r="C758" s="5" t="s">
        <v>27</v>
      </c>
      <c r="D758" s="5" t="s">
        <v>28</v>
      </c>
      <c r="E758" s="5" t="s">
        <v>155</v>
      </c>
      <c r="F758" s="9">
        <v>92</v>
      </c>
      <c r="G758" s="9">
        <v>1020</v>
      </c>
      <c r="H758" s="5" t="s">
        <v>20</v>
      </c>
      <c r="I758" s="5" t="s">
        <v>1989</v>
      </c>
      <c r="J758" s="12" t="str">
        <f>HYPERLINK("https://www.boe.es/gazeta/dias/1804/11/16/pdfs/GMD-1804-92.pdf#page=8","Abrir facsímil")</f>
        <v>Abrir facsímil</v>
      </c>
      <c r="K758" s="15" t="s">
        <v>22</v>
      </c>
    </row>
    <row r="759" spans="1:11" ht="42" customHeight="1">
      <c r="A759" s="4" t="s">
        <v>1990</v>
      </c>
      <c r="B759" s="5" t="s">
        <v>1990</v>
      </c>
      <c r="C759" s="5" t="s">
        <v>27</v>
      </c>
      <c r="D759" s="5" t="s">
        <v>28</v>
      </c>
      <c r="E759" s="5" t="s">
        <v>1278</v>
      </c>
      <c r="F759" s="9">
        <v>37</v>
      </c>
      <c r="G759" s="9">
        <v>410</v>
      </c>
      <c r="H759" s="5" t="s">
        <v>20</v>
      </c>
      <c r="I759" s="5" t="s">
        <v>1991</v>
      </c>
      <c r="J759" s="12" t="str">
        <f>HYPERLINK("https://www.boe.es/gazeta/dias/1804/05/08/pdfs/GMD-1804-37.pdf#page=8","Abrir facsímil")</f>
        <v>Abrir facsímil</v>
      </c>
      <c r="K759" s="15" t="s">
        <v>22</v>
      </c>
    </row>
    <row r="760" spans="1:11" ht="42" customHeight="1">
      <c r="A760" s="4" t="s">
        <v>1992</v>
      </c>
      <c r="B760" s="5" t="s">
        <v>1993</v>
      </c>
      <c r="C760" s="5" t="s">
        <v>17</v>
      </c>
      <c r="D760" s="5" t="s">
        <v>18</v>
      </c>
      <c r="E760" s="5" t="s">
        <v>91</v>
      </c>
      <c r="F760" s="9">
        <v>72</v>
      </c>
      <c r="G760" s="9">
        <v>805</v>
      </c>
      <c r="H760" s="5" t="s">
        <v>20</v>
      </c>
      <c r="I760" s="5" t="s">
        <v>1994</v>
      </c>
      <c r="J760" s="12" t="str">
        <f>HYPERLINK("https://www.boe.es/gazeta/dias/1804/09/07/pdfs/GMD-1804-72.pdf#page=7","Abrir facsímil")</f>
        <v>Abrir facsímil</v>
      </c>
      <c r="K760" s="15" t="s">
        <v>22</v>
      </c>
    </row>
    <row r="761" spans="1:11" ht="42" customHeight="1">
      <c r="A761" s="4" t="s">
        <v>1995</v>
      </c>
      <c r="B761" s="5" t="s">
        <v>1995</v>
      </c>
      <c r="C761" s="5" t="s">
        <v>85</v>
      </c>
      <c r="D761" s="5" t="s">
        <v>86</v>
      </c>
      <c r="E761" s="5" t="s">
        <v>637</v>
      </c>
      <c r="F761" s="9">
        <v>74</v>
      </c>
      <c r="G761" s="9">
        <v>833</v>
      </c>
      <c r="H761" s="5" t="s">
        <v>20</v>
      </c>
      <c r="I761" s="5" t="s">
        <v>1996</v>
      </c>
      <c r="J761" s="12" t="str">
        <f>HYPERLINK("https://www.boe.es/gazeta/dias/1804/09/14/pdfs/GMD-1804-74.pdf#page=11","Abrir facsímil")</f>
        <v>Abrir facsímil</v>
      </c>
      <c r="K761" s="15" t="s">
        <v>22</v>
      </c>
    </row>
    <row r="762" spans="1:11" ht="42" customHeight="1">
      <c r="A762" s="4" t="s">
        <v>1997</v>
      </c>
      <c r="B762" s="5" t="s">
        <v>1997</v>
      </c>
      <c r="C762" s="5" t="s">
        <v>27</v>
      </c>
      <c r="D762" s="5" t="s">
        <v>28</v>
      </c>
      <c r="E762" s="5" t="s">
        <v>216</v>
      </c>
      <c r="F762" s="9">
        <v>67</v>
      </c>
      <c r="G762" s="9">
        <v>750</v>
      </c>
      <c r="H762" s="5" t="s">
        <v>20</v>
      </c>
      <c r="I762" s="5" t="s">
        <v>1998</v>
      </c>
      <c r="J762" s="12" t="str">
        <f>HYPERLINK("https://www.boe.es/gazeta/dias/1804/08/21/pdfs/GMD-1804-67.pdf#page=8","Abrir facsímil")</f>
        <v>Abrir facsímil</v>
      </c>
      <c r="K762" s="15" t="s">
        <v>22</v>
      </c>
    </row>
    <row r="763" spans="1:11" ht="42" customHeight="1">
      <c r="A763" s="4" t="s">
        <v>1999</v>
      </c>
      <c r="B763" s="5" t="s">
        <v>1999</v>
      </c>
      <c r="C763" s="5" t="s">
        <v>198</v>
      </c>
      <c r="D763" s="5" t="s">
        <v>66</v>
      </c>
      <c r="E763" s="5" t="s">
        <v>350</v>
      </c>
      <c r="F763" s="9">
        <v>19</v>
      </c>
      <c r="G763" s="9">
        <v>212</v>
      </c>
      <c r="H763" s="5" t="s">
        <v>20</v>
      </c>
      <c r="I763" s="5" t="s">
        <v>2000</v>
      </c>
      <c r="J763" s="12" t="str">
        <f>HYPERLINK("https://www.boe.es/gazeta/dias/1804/03/06/pdfs/GMD-1804-19.pdf#page=12","Abrir facsímil")</f>
        <v>Abrir facsímil</v>
      </c>
      <c r="K763" s="15" t="s">
        <v>22</v>
      </c>
    </row>
    <row r="764" spans="1:11" ht="42" customHeight="1">
      <c r="A764" s="4" t="s">
        <v>2001</v>
      </c>
      <c r="B764" s="5" t="s">
        <v>2001</v>
      </c>
      <c r="C764" s="5" t="s">
        <v>85</v>
      </c>
      <c r="D764" s="5" t="s">
        <v>86</v>
      </c>
      <c r="E764" s="5" t="s">
        <v>59</v>
      </c>
      <c r="F764" s="9">
        <v>55</v>
      </c>
      <c r="G764" s="9">
        <v>614</v>
      </c>
      <c r="H764" s="5" t="s">
        <v>20</v>
      </c>
      <c r="I764" s="5" t="s">
        <v>2002</v>
      </c>
      <c r="J764" s="12" t="str">
        <f>HYPERLINK("https://www.boe.es/gazeta/dias/1804/07/10/pdfs/GMD-1804-55.pdf#page=12","Abrir facsímil")</f>
        <v>Abrir facsímil</v>
      </c>
      <c r="K764" s="15" t="s">
        <v>22</v>
      </c>
    </row>
    <row r="765" spans="1:11" ht="42" customHeight="1">
      <c r="A765" s="4" t="s">
        <v>2003</v>
      </c>
      <c r="B765" s="5" t="s">
        <v>2004</v>
      </c>
      <c r="C765" s="5" t="s">
        <v>85</v>
      </c>
      <c r="D765" s="5" t="s">
        <v>86</v>
      </c>
      <c r="E765" s="5" t="s">
        <v>511</v>
      </c>
      <c r="F765" s="9">
        <v>12</v>
      </c>
      <c r="G765" s="9">
        <v>136</v>
      </c>
      <c r="H765" s="5" t="s">
        <v>20</v>
      </c>
      <c r="I765" s="5" t="s">
        <v>2005</v>
      </c>
      <c r="J765" s="12" t="str">
        <f>HYPERLINK("https://www.boe.es/gazeta/dias/1804/02/10/pdfs/GMD-1804-12.pdf#page=12","Abrir facsímil")</f>
        <v>Abrir facsímil</v>
      </c>
      <c r="K765" s="15" t="s">
        <v>22</v>
      </c>
    </row>
    <row r="766" spans="1:11" ht="42" customHeight="1">
      <c r="A766" s="4" t="s">
        <v>2006</v>
      </c>
      <c r="B766" s="5" t="s">
        <v>2006</v>
      </c>
      <c r="C766" s="5" t="s">
        <v>17</v>
      </c>
      <c r="D766" s="5" t="s">
        <v>18</v>
      </c>
      <c r="E766" s="5" t="s">
        <v>87</v>
      </c>
      <c r="F766" s="9">
        <v>9</v>
      </c>
      <c r="G766" s="9">
        <v>99</v>
      </c>
      <c r="H766" s="5" t="s">
        <v>20</v>
      </c>
      <c r="I766" s="5" t="s">
        <v>2007</v>
      </c>
      <c r="J766" s="12" t="str">
        <f>HYPERLINK("https://www.boe.es/gazeta/dias/1804/01/31/pdfs/GMD-1804-9.pdf#page=11","Abrir facsímil")</f>
        <v>Abrir facsímil</v>
      </c>
      <c r="K766" s="15" t="s">
        <v>22</v>
      </c>
    </row>
    <row r="767" spans="1:11" ht="42" customHeight="1">
      <c r="A767" s="4" t="s">
        <v>2008</v>
      </c>
      <c r="B767" s="5" t="s">
        <v>2009</v>
      </c>
      <c r="C767" s="5" t="s">
        <v>17</v>
      </c>
      <c r="D767" s="5" t="s">
        <v>18</v>
      </c>
      <c r="E767" s="5" t="s">
        <v>54</v>
      </c>
      <c r="F767" s="9">
        <v>63</v>
      </c>
      <c r="G767" s="9">
        <v>699</v>
      </c>
      <c r="H767" s="5" t="s">
        <v>20</v>
      </c>
      <c r="I767" s="5" t="s">
        <v>2010</v>
      </c>
      <c r="J767" s="12" t="str">
        <f>HYPERLINK("https://www.boe.es/gazeta/dias/1804/08/07/pdfs/GMD-1804-63.pdf#page=9","Abrir facsímil")</f>
        <v>Abrir facsímil</v>
      </c>
      <c r="K767" s="15" t="s">
        <v>22</v>
      </c>
    </row>
    <row r="768" spans="1:11" ht="42" customHeight="1">
      <c r="A768" s="4" t="s">
        <v>2011</v>
      </c>
      <c r="B768" s="5" t="s">
        <v>2012</v>
      </c>
      <c r="C768" s="5" t="s">
        <v>85</v>
      </c>
      <c r="D768" s="5" t="s">
        <v>86</v>
      </c>
      <c r="E768" s="5" t="s">
        <v>421</v>
      </c>
      <c r="F768" s="9">
        <v>47</v>
      </c>
      <c r="G768" s="9">
        <v>530</v>
      </c>
      <c r="H768" s="5" t="s">
        <v>20</v>
      </c>
      <c r="I768" s="5" t="s">
        <v>2013</v>
      </c>
      <c r="J768" s="12" t="str">
        <f>HYPERLINK("https://www.boe.es/gazeta/dias/1804/06/12/pdfs/GMD-1804-47.pdf#page=12","Abrir facsímil")</f>
        <v>Abrir facsímil</v>
      </c>
      <c r="K768" s="15" t="s">
        <v>22</v>
      </c>
    </row>
    <row r="769" spans="1:11" ht="42" customHeight="1">
      <c r="A769" s="4" t="s">
        <v>2014</v>
      </c>
      <c r="B769" s="5" t="s">
        <v>2014</v>
      </c>
      <c r="C769" s="5" t="s">
        <v>27</v>
      </c>
      <c r="D769" s="5" t="s">
        <v>28</v>
      </c>
      <c r="E769" s="5" t="s">
        <v>367</v>
      </c>
      <c r="F769" s="9">
        <v>64</v>
      </c>
      <c r="G769" s="9">
        <v>714</v>
      </c>
      <c r="H769" s="5" t="s">
        <v>20</v>
      </c>
      <c r="I769" s="5" t="s">
        <v>2015</v>
      </c>
      <c r="J769" s="12" t="str">
        <f>HYPERLINK("https://www.boe.es/gazeta/dias/1804/08/10/pdfs/GMD-1804-64.pdf#page=8","Abrir facsímil")</f>
        <v>Abrir facsímil</v>
      </c>
      <c r="K769" s="15" t="s">
        <v>22</v>
      </c>
    </row>
    <row r="770" spans="1:11" ht="42" customHeight="1">
      <c r="A770" s="4" t="s">
        <v>2016</v>
      </c>
      <c r="B770" s="5" t="s">
        <v>2017</v>
      </c>
      <c r="C770" s="5" t="s">
        <v>27</v>
      </c>
      <c r="D770" s="5" t="s">
        <v>28</v>
      </c>
      <c r="E770" s="5" t="s">
        <v>216</v>
      </c>
      <c r="F770" s="9">
        <v>67</v>
      </c>
      <c r="G770" s="9">
        <v>750</v>
      </c>
      <c r="H770" s="5" t="s">
        <v>20</v>
      </c>
      <c r="I770" s="5" t="s">
        <v>2018</v>
      </c>
      <c r="J770" s="12" t="str">
        <f>HYPERLINK("https://www.boe.es/gazeta/dias/1804/08/21/pdfs/GMD-1804-67.pdf#page=8","Abrir facsímil")</f>
        <v>Abrir facsímil</v>
      </c>
      <c r="K770" s="15" t="s">
        <v>22</v>
      </c>
    </row>
    <row r="771" spans="1:11" ht="42" customHeight="1">
      <c r="A771" s="4" t="s">
        <v>2019</v>
      </c>
      <c r="B771" s="5" t="s">
        <v>2020</v>
      </c>
      <c r="C771" s="5" t="s">
        <v>27</v>
      </c>
      <c r="D771" s="5" t="s">
        <v>28</v>
      </c>
      <c r="E771" s="5" t="s">
        <v>91</v>
      </c>
      <c r="F771" s="9">
        <v>72</v>
      </c>
      <c r="G771" s="9">
        <v>806</v>
      </c>
      <c r="H771" s="5" t="s">
        <v>20</v>
      </c>
      <c r="I771" s="5" t="s">
        <v>2021</v>
      </c>
      <c r="J771" s="12" t="str">
        <f>HYPERLINK("https://www.boe.es/gazeta/dias/1804/09/07/pdfs/GMD-1804-72.pdf#page=8","Abrir facsímil")</f>
        <v>Abrir facsímil</v>
      </c>
      <c r="K771" s="15" t="s">
        <v>22</v>
      </c>
    </row>
    <row r="772" spans="1:11" ht="42" customHeight="1">
      <c r="A772" s="4" t="s">
        <v>2022</v>
      </c>
      <c r="B772" s="5" t="s">
        <v>2023</v>
      </c>
      <c r="C772" s="5" t="s">
        <v>27</v>
      </c>
      <c r="D772" s="5" t="s">
        <v>28</v>
      </c>
      <c r="E772" s="5" t="s">
        <v>421</v>
      </c>
      <c r="F772" s="9">
        <v>47</v>
      </c>
      <c r="G772" s="9">
        <v>528</v>
      </c>
      <c r="H772" s="5" t="s">
        <v>20</v>
      </c>
      <c r="I772" s="5" t="s">
        <v>2024</v>
      </c>
      <c r="J772" s="12" t="str">
        <f>HYPERLINK("https://www.boe.es/gazeta/dias/1804/06/12/pdfs/GMD-1804-47.pdf#page=10","Abrir facsímil")</f>
        <v>Abrir facsímil</v>
      </c>
      <c r="K772" s="15" t="s">
        <v>22</v>
      </c>
    </row>
    <row r="773" spans="1:11" ht="42" customHeight="1">
      <c r="A773" s="4" t="s">
        <v>2025</v>
      </c>
      <c r="B773" s="5" t="s">
        <v>2025</v>
      </c>
      <c r="C773" s="5" t="s">
        <v>65</v>
      </c>
      <c r="D773" s="5" t="s">
        <v>66</v>
      </c>
      <c r="E773" s="5" t="s">
        <v>61</v>
      </c>
      <c r="F773" s="9">
        <v>61</v>
      </c>
      <c r="G773" s="9">
        <v>677</v>
      </c>
      <c r="H773" s="5" t="s">
        <v>20</v>
      </c>
      <c r="I773" s="5" t="s">
        <v>2026</v>
      </c>
      <c r="J773" s="12" t="str">
        <f>HYPERLINK("https://www.boe.es/gazeta/dias/1804/07/31/pdfs/GMD-1804-61.pdf#page=7","Abrir facsímil")</f>
        <v>Abrir facsímil</v>
      </c>
      <c r="K773" s="15" t="s">
        <v>22</v>
      </c>
    </row>
    <row r="774" spans="1:11" ht="42" customHeight="1">
      <c r="A774" s="4" t="s">
        <v>2027</v>
      </c>
      <c r="B774" s="5" t="s">
        <v>2027</v>
      </c>
      <c r="C774" s="5" t="s">
        <v>27</v>
      </c>
      <c r="D774" s="5" t="s">
        <v>28</v>
      </c>
      <c r="E774" s="5" t="s">
        <v>258</v>
      </c>
      <c r="F774" s="9">
        <v>14</v>
      </c>
      <c r="G774" s="9">
        <v>153</v>
      </c>
      <c r="H774" s="5" t="s">
        <v>20</v>
      </c>
      <c r="I774" s="5" t="s">
        <v>2028</v>
      </c>
      <c r="J774" s="12" t="str">
        <f>HYPERLINK("https://www.boe.es/gazeta/dias/1804/02/17/pdfs/GMD-1804-14.pdf#page=9","Abrir facsímil")</f>
        <v>Abrir facsímil</v>
      </c>
      <c r="K774" s="15" t="s">
        <v>22</v>
      </c>
    </row>
    <row r="775" spans="1:11" ht="42" customHeight="1">
      <c r="A775" s="4" t="s">
        <v>2029</v>
      </c>
      <c r="B775" s="5" t="s">
        <v>2029</v>
      </c>
      <c r="C775" s="5" t="s">
        <v>27</v>
      </c>
      <c r="D775" s="5" t="s">
        <v>28</v>
      </c>
      <c r="E775" s="5" t="s">
        <v>41</v>
      </c>
      <c r="F775" s="9">
        <v>24</v>
      </c>
      <c r="G775" s="9">
        <v>271</v>
      </c>
      <c r="H775" s="5" t="s">
        <v>20</v>
      </c>
      <c r="I775" s="5" t="s">
        <v>2030</v>
      </c>
      <c r="J775" s="12" t="str">
        <f>HYPERLINK("https://www.boe.es/gazeta/dias/1804/03/23/pdfs/GMD-1804-24.pdf#page=5","Abrir facsímil")</f>
        <v>Abrir facsímil</v>
      </c>
      <c r="K775" s="15" t="s">
        <v>22</v>
      </c>
    </row>
    <row r="776" spans="1:11" ht="42" customHeight="1">
      <c r="A776" s="4" t="s">
        <v>2031</v>
      </c>
      <c r="B776" s="5" t="s">
        <v>2032</v>
      </c>
      <c r="C776" s="5" t="s">
        <v>17</v>
      </c>
      <c r="D776" s="5" t="s">
        <v>18</v>
      </c>
      <c r="E776" s="5" t="s">
        <v>350</v>
      </c>
      <c r="F776" s="9">
        <v>19</v>
      </c>
      <c r="G776" s="9">
        <v>210</v>
      </c>
      <c r="H776" s="5" t="s">
        <v>20</v>
      </c>
      <c r="I776" s="5" t="s">
        <v>2033</v>
      </c>
      <c r="J776" s="12" t="str">
        <f>HYPERLINK("https://www.boe.es/gazeta/dias/1804/03/06/pdfs/GMD-1804-19.pdf#page=10","Abrir facsímil")</f>
        <v>Abrir facsímil</v>
      </c>
      <c r="K776" s="15" t="s">
        <v>22</v>
      </c>
    </row>
    <row r="777" spans="1:11" ht="42" customHeight="1">
      <c r="A777" s="4" t="s">
        <v>2034</v>
      </c>
      <c r="B777" s="5" t="s">
        <v>2035</v>
      </c>
      <c r="C777" s="5" t="s">
        <v>27</v>
      </c>
      <c r="D777" s="5" t="s">
        <v>28</v>
      </c>
      <c r="E777" s="5" t="s">
        <v>497</v>
      </c>
      <c r="F777" s="9">
        <v>25</v>
      </c>
      <c r="G777" s="9">
        <v>285</v>
      </c>
      <c r="H777" s="5" t="s">
        <v>20</v>
      </c>
      <c r="I777" s="5" t="s">
        <v>2036</v>
      </c>
      <c r="J777" s="12" t="str">
        <f>HYPERLINK("https://www.boe.es/gazeta/dias/1804/03/27/pdfs/GMD-1804-25.pdf#page=7","Abrir facsímil")</f>
        <v>Abrir facsímil</v>
      </c>
      <c r="K777" s="15" t="s">
        <v>22</v>
      </c>
    </row>
    <row r="778" spans="1:11" ht="42" customHeight="1">
      <c r="A778" s="4" t="s">
        <v>2034</v>
      </c>
      <c r="B778" s="5" t="s">
        <v>2035</v>
      </c>
      <c r="C778" s="5" t="s">
        <v>17</v>
      </c>
      <c r="D778" s="5" t="s">
        <v>18</v>
      </c>
      <c r="E778" s="5" t="s">
        <v>623</v>
      </c>
      <c r="F778" s="9">
        <v>51</v>
      </c>
      <c r="G778" s="9">
        <v>564</v>
      </c>
      <c r="H778" s="5" t="s">
        <v>20</v>
      </c>
      <c r="I778" s="5" t="s">
        <v>2037</v>
      </c>
      <c r="J778" s="12" t="str">
        <f>HYPERLINK("https://www.boe.es/gazeta/dias/1804/06/26/pdfs/GMD-1804-51.pdf#page=10","Abrir facsímil")</f>
        <v>Abrir facsímil</v>
      </c>
      <c r="K778" s="15" t="s">
        <v>22</v>
      </c>
    </row>
    <row r="779" spans="1:11" ht="42" customHeight="1">
      <c r="A779" s="4" t="s">
        <v>2034</v>
      </c>
      <c r="B779" s="5" t="s">
        <v>2035</v>
      </c>
      <c r="C779" s="5" t="s">
        <v>17</v>
      </c>
      <c r="D779" s="5" t="s">
        <v>18</v>
      </c>
      <c r="E779" s="5" t="s">
        <v>67</v>
      </c>
      <c r="F779" s="9">
        <v>59</v>
      </c>
      <c r="G779" s="9">
        <v>654</v>
      </c>
      <c r="H779" s="5" t="s">
        <v>20</v>
      </c>
      <c r="I779" s="5" t="s">
        <v>2038</v>
      </c>
      <c r="J779" s="12" t="str">
        <f>HYPERLINK("https://www.boe.es/gazeta/dias/1804/07/24/pdfs/GMD-1804-59.pdf#page=8","Abrir facsímil")</f>
        <v>Abrir facsímil</v>
      </c>
      <c r="K779" s="15" t="s">
        <v>22</v>
      </c>
    </row>
    <row r="780" spans="1:11" ht="42" customHeight="1">
      <c r="A780" s="4" t="s">
        <v>2034</v>
      </c>
      <c r="B780" s="5" t="s">
        <v>2035</v>
      </c>
      <c r="C780" s="5" t="s">
        <v>198</v>
      </c>
      <c r="D780" s="5" t="s">
        <v>66</v>
      </c>
      <c r="E780" s="5" t="s">
        <v>1095</v>
      </c>
      <c r="F780" s="9">
        <v>73</v>
      </c>
      <c r="G780" s="9">
        <v>820</v>
      </c>
      <c r="H780" s="5" t="s">
        <v>20</v>
      </c>
      <c r="I780" s="5" t="s">
        <v>2039</v>
      </c>
      <c r="J780" s="12" t="str">
        <f>HYPERLINK("https://www.boe.es/gazeta/dias/1804/09/11/pdfs/GMD-1804-73.pdf#page=10","Abrir facsímil")</f>
        <v>Abrir facsímil</v>
      </c>
      <c r="K780" s="15" t="s">
        <v>22</v>
      </c>
    </row>
    <row r="781" spans="1:11" ht="42" customHeight="1">
      <c r="A781" s="4" t="s">
        <v>2034</v>
      </c>
      <c r="B781" s="5" t="s">
        <v>2035</v>
      </c>
      <c r="C781" s="5" t="s">
        <v>17</v>
      </c>
      <c r="D781" s="5" t="s">
        <v>18</v>
      </c>
      <c r="E781" s="5" t="s">
        <v>490</v>
      </c>
      <c r="F781" s="9">
        <v>100</v>
      </c>
      <c r="G781" s="9">
        <v>1115</v>
      </c>
      <c r="H781" s="5" t="s">
        <v>20</v>
      </c>
      <c r="I781" s="5" t="s">
        <v>2040</v>
      </c>
      <c r="J781" s="12" t="str">
        <f>HYPERLINK("https://www.boe.es/gazeta/dias/1804/12/14/pdfs/GMD-1804-100.pdf#page=7","Abrir facsímil")</f>
        <v>Abrir facsímil</v>
      </c>
      <c r="K781" s="15" t="s">
        <v>22</v>
      </c>
    </row>
    <row r="782" spans="1:11" ht="42" customHeight="1">
      <c r="A782" s="4" t="s">
        <v>2041</v>
      </c>
      <c r="B782" s="5" t="s">
        <v>2041</v>
      </c>
      <c r="C782" s="5" t="s">
        <v>57</v>
      </c>
      <c r="D782" s="5" t="s">
        <v>58</v>
      </c>
      <c r="E782" s="5" t="s">
        <v>1449</v>
      </c>
      <c r="F782" s="9">
        <v>8</v>
      </c>
      <c r="G782" s="9">
        <v>84</v>
      </c>
      <c r="H782" s="5" t="s">
        <v>20</v>
      </c>
      <c r="I782" s="5" t="s">
        <v>2042</v>
      </c>
      <c r="J782" s="12" t="str">
        <f>HYPERLINK("https://www.boe.es/gazeta/dias/1804/01/27/pdfs/GMD-1804-8.pdf#page=8","Abrir facsímil")</f>
        <v>Abrir facsímil</v>
      </c>
      <c r="K782" s="15" t="s">
        <v>22</v>
      </c>
    </row>
    <row r="783" spans="1:11" ht="42" customHeight="1">
      <c r="A783" s="4" t="s">
        <v>2043</v>
      </c>
      <c r="B783" s="5" t="s">
        <v>2044</v>
      </c>
      <c r="C783" s="5" t="s">
        <v>27</v>
      </c>
      <c r="D783" s="5" t="s">
        <v>28</v>
      </c>
      <c r="E783" s="5" t="s">
        <v>320</v>
      </c>
      <c r="F783" s="9">
        <v>31</v>
      </c>
      <c r="G783" s="9">
        <v>343</v>
      </c>
      <c r="H783" s="5" t="s">
        <v>20</v>
      </c>
      <c r="I783" s="5" t="s">
        <v>2045</v>
      </c>
      <c r="J783" s="12" t="str">
        <f>HYPERLINK("https://www.boe.es/gazeta/dias/1804/04/17/pdfs/GMD-1804-31.pdf#page=9","Abrir facsímil")</f>
        <v>Abrir facsímil</v>
      </c>
      <c r="K783" s="15" t="s">
        <v>22</v>
      </c>
    </row>
    <row r="784" spans="1:11" ht="42" customHeight="1">
      <c r="A784" s="4" t="s">
        <v>2046</v>
      </c>
      <c r="B784" s="5" t="s">
        <v>2047</v>
      </c>
      <c r="C784" s="5" t="s">
        <v>27</v>
      </c>
      <c r="D784" s="5" t="s">
        <v>28</v>
      </c>
      <c r="E784" s="5" t="s">
        <v>1179</v>
      </c>
      <c r="F784" s="9">
        <v>43</v>
      </c>
      <c r="G784" s="9">
        <v>480</v>
      </c>
      <c r="H784" s="5" t="s">
        <v>20</v>
      </c>
      <c r="I784" s="5" t="s">
        <v>2048</v>
      </c>
      <c r="J784" s="12" t="str">
        <f>HYPERLINK("https://www.boe.es/gazeta/dias/1804/05/29/pdfs/GMD-1804-43.pdf#page=6","Abrir facsímil")</f>
        <v>Abrir facsímil</v>
      </c>
      <c r="K784" s="15" t="s">
        <v>22</v>
      </c>
    </row>
    <row r="785" spans="1:11" ht="42" customHeight="1">
      <c r="A785" s="4" t="s">
        <v>2049</v>
      </c>
      <c r="B785" s="5" t="s">
        <v>2050</v>
      </c>
      <c r="C785" s="5" t="s">
        <v>57</v>
      </c>
      <c r="D785" s="5" t="s">
        <v>58</v>
      </c>
      <c r="E785" s="5" t="s">
        <v>97</v>
      </c>
      <c r="F785" s="9">
        <v>50</v>
      </c>
      <c r="G785" s="9">
        <v>551</v>
      </c>
      <c r="H785" s="5" t="s">
        <v>20</v>
      </c>
      <c r="I785" s="5" t="s">
        <v>2051</v>
      </c>
      <c r="J785" s="12" t="str">
        <f>HYPERLINK("https://www.boe.es/gazeta/dias/1804/06/22/pdfs/GMD-1804-50.pdf#page=5","Abrir facsímil")</f>
        <v>Abrir facsímil</v>
      </c>
      <c r="K785" s="15" t="s">
        <v>22</v>
      </c>
    </row>
    <row r="786" spans="1:11" ht="42" customHeight="1">
      <c r="A786" s="4" t="s">
        <v>2052</v>
      </c>
      <c r="B786" s="5" t="s">
        <v>2052</v>
      </c>
      <c r="C786" s="5" t="s">
        <v>57</v>
      </c>
      <c r="D786" s="5" t="s">
        <v>58</v>
      </c>
      <c r="E786" s="5" t="s">
        <v>251</v>
      </c>
      <c r="F786" s="9">
        <v>79</v>
      </c>
      <c r="G786" s="9">
        <v>873</v>
      </c>
      <c r="H786" s="5" t="s">
        <v>20</v>
      </c>
      <c r="I786" s="5" t="s">
        <v>2053</v>
      </c>
      <c r="J786" s="12" t="str">
        <f>HYPERLINK("https://www.boe.es/gazeta/dias/1804/10/02/pdfs/GMD-1804-79.pdf#page=3","Abrir facsímil")</f>
        <v>Abrir facsímil</v>
      </c>
      <c r="K786" s="15" t="s">
        <v>22</v>
      </c>
    </row>
    <row r="787" spans="1:11" ht="42" customHeight="1">
      <c r="A787" s="4" t="s">
        <v>2054</v>
      </c>
      <c r="B787" s="5" t="s">
        <v>2054</v>
      </c>
      <c r="C787" s="5" t="s">
        <v>27</v>
      </c>
      <c r="D787" s="5" t="s">
        <v>28</v>
      </c>
      <c r="E787" s="5" t="s">
        <v>326</v>
      </c>
      <c r="F787" s="9">
        <v>69</v>
      </c>
      <c r="G787" s="9">
        <v>772</v>
      </c>
      <c r="H787" s="5" t="s">
        <v>20</v>
      </c>
      <c r="I787" s="5" t="s">
        <v>2055</v>
      </c>
      <c r="J787" s="12" t="str">
        <f>HYPERLINK("https://www.boe.es/gazeta/dias/1804/08/28/pdfs/GMD-1804-69.pdf#page=6","Abrir facsímil")</f>
        <v>Abrir facsímil</v>
      </c>
      <c r="K787" s="15" t="s">
        <v>22</v>
      </c>
    </row>
    <row r="788" spans="1:11" ht="42" customHeight="1">
      <c r="A788" s="4" t="s">
        <v>2054</v>
      </c>
      <c r="B788" s="5" t="s">
        <v>2054</v>
      </c>
      <c r="C788" s="5" t="s">
        <v>57</v>
      </c>
      <c r="D788" s="5" t="s">
        <v>58</v>
      </c>
      <c r="E788" s="5" t="s">
        <v>637</v>
      </c>
      <c r="F788" s="9">
        <v>74</v>
      </c>
      <c r="G788" s="9">
        <v>825</v>
      </c>
      <c r="H788" s="5" t="s">
        <v>20</v>
      </c>
      <c r="I788" s="5" t="s">
        <v>2056</v>
      </c>
      <c r="J788" s="12" t="str">
        <f>HYPERLINK("https://www.boe.es/gazeta/dias/1804/09/14/pdfs/GMD-1804-74.pdf#page=3","Abrir facsímil")</f>
        <v>Abrir facsímil</v>
      </c>
      <c r="K788" s="15" t="s">
        <v>22</v>
      </c>
    </row>
    <row r="789" spans="1:11" ht="42" customHeight="1">
      <c r="A789" s="4" t="s">
        <v>2054</v>
      </c>
      <c r="B789" s="5" t="s">
        <v>2054</v>
      </c>
      <c r="C789" s="5" t="s">
        <v>57</v>
      </c>
      <c r="D789" s="5" t="s">
        <v>58</v>
      </c>
      <c r="E789" s="5" t="s">
        <v>709</v>
      </c>
      <c r="F789" s="9">
        <v>82</v>
      </c>
      <c r="G789" s="9">
        <v>902</v>
      </c>
      <c r="H789" s="5" t="s">
        <v>20</v>
      </c>
      <c r="I789" s="5" t="s">
        <v>2057</v>
      </c>
      <c r="J789" s="12" t="str">
        <f>HYPERLINK("https://www.boe.es/gazeta/dias/1804/10/12/pdfs/GMD-1804-82.pdf#page=4","Abrir facsímil")</f>
        <v>Abrir facsímil</v>
      </c>
      <c r="K789" s="15" t="s">
        <v>22</v>
      </c>
    </row>
    <row r="790" spans="1:11" ht="42" customHeight="1">
      <c r="A790" s="4" t="s">
        <v>2058</v>
      </c>
      <c r="B790" s="5" t="s">
        <v>2059</v>
      </c>
      <c r="C790" s="5" t="s">
        <v>27</v>
      </c>
      <c r="D790" s="5" t="s">
        <v>28</v>
      </c>
      <c r="E790" s="5" t="s">
        <v>670</v>
      </c>
      <c r="F790" s="9">
        <v>41</v>
      </c>
      <c r="G790" s="9">
        <v>458</v>
      </c>
      <c r="H790" s="5" t="s">
        <v>20</v>
      </c>
      <c r="I790" s="5" t="s">
        <v>2060</v>
      </c>
      <c r="J790" s="12" t="str">
        <f>HYPERLINK("https://www.boe.es/gazeta/dias/1804/05/22/pdfs/GMD-1804-41.pdf#page=8","Abrir facsímil")</f>
        <v>Abrir facsímil</v>
      </c>
      <c r="K790" s="15" t="s">
        <v>22</v>
      </c>
    </row>
    <row r="791" spans="1:11" ht="42" customHeight="1">
      <c r="A791" s="4" t="s">
        <v>2061</v>
      </c>
      <c r="B791" s="5" t="s">
        <v>2062</v>
      </c>
      <c r="C791" s="5" t="s">
        <v>27</v>
      </c>
      <c r="D791" s="5" t="s">
        <v>28</v>
      </c>
      <c r="E791" s="5" t="s">
        <v>155</v>
      </c>
      <c r="F791" s="9">
        <v>92</v>
      </c>
      <c r="G791" s="9">
        <v>1020</v>
      </c>
      <c r="H791" s="5" t="s">
        <v>20</v>
      </c>
      <c r="I791" s="5" t="s">
        <v>2063</v>
      </c>
      <c r="J791" s="12" t="str">
        <f>HYPERLINK("https://www.boe.es/gazeta/dias/1804/11/16/pdfs/GMD-1804-92.pdf#page=8","Abrir facsímil")</f>
        <v>Abrir facsímil</v>
      </c>
      <c r="K791" s="15" t="s">
        <v>22</v>
      </c>
    </row>
    <row r="792" spans="1:11" ht="42" customHeight="1">
      <c r="A792" s="4" t="s">
        <v>2064</v>
      </c>
      <c r="B792" s="5" t="s">
        <v>2064</v>
      </c>
      <c r="C792" s="5" t="s">
        <v>27</v>
      </c>
      <c r="D792" s="5" t="s">
        <v>28</v>
      </c>
      <c r="E792" s="5" t="s">
        <v>326</v>
      </c>
      <c r="F792" s="9">
        <v>69</v>
      </c>
      <c r="G792" s="9">
        <v>772</v>
      </c>
      <c r="H792" s="5" t="s">
        <v>20</v>
      </c>
      <c r="I792" s="5" t="s">
        <v>2065</v>
      </c>
      <c r="J792" s="12" t="str">
        <f>HYPERLINK("https://www.boe.es/gazeta/dias/1804/08/28/pdfs/GMD-1804-69.pdf#page=6","Abrir facsímil")</f>
        <v>Abrir facsímil</v>
      </c>
      <c r="K792" s="15" t="s">
        <v>22</v>
      </c>
    </row>
    <row r="793" spans="1:11" ht="42" customHeight="1">
      <c r="A793" s="4" t="s">
        <v>2066</v>
      </c>
      <c r="B793" s="5" t="s">
        <v>2066</v>
      </c>
      <c r="C793" s="5" t="s">
        <v>198</v>
      </c>
      <c r="D793" s="5" t="s">
        <v>66</v>
      </c>
      <c r="E793" s="5" t="s">
        <v>637</v>
      </c>
      <c r="F793" s="9">
        <v>74</v>
      </c>
      <c r="G793" s="9">
        <v>827</v>
      </c>
      <c r="H793" s="5" t="s">
        <v>20</v>
      </c>
      <c r="I793" s="5" t="s">
        <v>2067</v>
      </c>
      <c r="J793" s="12" t="str">
        <f>HYPERLINK("https://www.boe.es/gazeta/dias/1804/09/14/pdfs/GMD-1804-74.pdf#page=5","Abrir facsímil")</f>
        <v>Abrir facsímil</v>
      </c>
      <c r="K793" s="15" t="s">
        <v>22</v>
      </c>
    </row>
    <row r="794" spans="1:11" ht="42" customHeight="1">
      <c r="A794" s="4" t="s">
        <v>2068</v>
      </c>
      <c r="B794" s="5" t="s">
        <v>2069</v>
      </c>
      <c r="C794" s="5" t="s">
        <v>17</v>
      </c>
      <c r="D794" s="5" t="s">
        <v>18</v>
      </c>
      <c r="E794" s="5" t="s">
        <v>1020</v>
      </c>
      <c r="F794" s="9">
        <v>103</v>
      </c>
      <c r="G794" s="9">
        <v>1143</v>
      </c>
      <c r="H794" s="5" t="s">
        <v>20</v>
      </c>
      <c r="I794" s="5" t="s">
        <v>2070</v>
      </c>
      <c r="J794" s="12" t="str">
        <f>HYPERLINK("https://www.boe.es/gazeta/dias/1804/12/25/pdfs/GMD-1804-103.pdf#page=3","Abrir facsímil")</f>
        <v>Abrir facsímil</v>
      </c>
      <c r="K794" s="15" t="s">
        <v>22</v>
      </c>
    </row>
    <row r="795" spans="1:11" ht="42" customHeight="1">
      <c r="A795" s="4" t="s">
        <v>2071</v>
      </c>
      <c r="B795" s="5" t="s">
        <v>2072</v>
      </c>
      <c r="C795" s="5" t="s">
        <v>27</v>
      </c>
      <c r="D795" s="5" t="s">
        <v>28</v>
      </c>
      <c r="E795" s="5" t="s">
        <v>251</v>
      </c>
      <c r="F795" s="9">
        <v>79</v>
      </c>
      <c r="G795" s="9">
        <v>878</v>
      </c>
      <c r="H795" s="5" t="s">
        <v>20</v>
      </c>
      <c r="I795" s="5" t="s">
        <v>2073</v>
      </c>
      <c r="J795" s="12" t="str">
        <f>HYPERLINK("https://www.boe.es/gazeta/dias/1804/10/02/pdfs/GMD-1804-79.pdf#page=8","Abrir facsímil")</f>
        <v>Abrir facsímil</v>
      </c>
      <c r="K795" s="15" t="s">
        <v>22</v>
      </c>
    </row>
    <row r="796" spans="1:11" ht="42" customHeight="1">
      <c r="A796" s="4" t="s">
        <v>2074</v>
      </c>
      <c r="B796" s="5" t="s">
        <v>2075</v>
      </c>
      <c r="C796" s="5" t="s">
        <v>65</v>
      </c>
      <c r="D796" s="5" t="s">
        <v>66</v>
      </c>
      <c r="E796" s="5" t="s">
        <v>453</v>
      </c>
      <c r="F796" s="9">
        <v>33</v>
      </c>
      <c r="G796" s="9">
        <v>366</v>
      </c>
      <c r="H796" s="5" t="s">
        <v>20</v>
      </c>
      <c r="I796" s="5" t="s">
        <v>2076</v>
      </c>
      <c r="J796" s="12" t="str">
        <f>HYPERLINK("https://www.boe.es/gazeta/dias/1804/04/24/pdfs/GMD-1804-33.pdf#page=8","Abrir facsímil")</f>
        <v>Abrir facsímil</v>
      </c>
      <c r="K796" s="15" t="s">
        <v>22</v>
      </c>
    </row>
    <row r="797" spans="1:11" ht="42" customHeight="1">
      <c r="A797" s="4" t="s">
        <v>2077</v>
      </c>
      <c r="B797" s="5" t="s">
        <v>2077</v>
      </c>
      <c r="C797" s="5" t="s">
        <v>27</v>
      </c>
      <c r="D797" s="5" t="s">
        <v>28</v>
      </c>
      <c r="E797" s="5" t="s">
        <v>587</v>
      </c>
      <c r="F797" s="9">
        <v>62</v>
      </c>
      <c r="G797" s="9">
        <v>687</v>
      </c>
      <c r="H797" s="5" t="s">
        <v>20</v>
      </c>
      <c r="I797" s="5" t="s">
        <v>2078</v>
      </c>
      <c r="J797" s="12" t="str">
        <f>HYPERLINK("https://www.boe.es/gazeta/dias/1804/08/03/pdfs/GMD-1804-62.pdf#page=9","Abrir facsímil")</f>
        <v>Abrir facsímil</v>
      </c>
      <c r="K797" s="15" t="s">
        <v>22</v>
      </c>
    </row>
    <row r="798" spans="1:11" ht="42" customHeight="1">
      <c r="A798" s="4" t="s">
        <v>2079</v>
      </c>
      <c r="B798" s="5" t="s">
        <v>2080</v>
      </c>
      <c r="C798" s="5" t="s">
        <v>27</v>
      </c>
      <c r="D798" s="5" t="s">
        <v>28</v>
      </c>
      <c r="E798" s="5" t="s">
        <v>234</v>
      </c>
      <c r="F798" s="9">
        <v>86</v>
      </c>
      <c r="G798" s="9">
        <v>948</v>
      </c>
      <c r="H798" s="5" t="s">
        <v>20</v>
      </c>
      <c r="I798" s="5" t="s">
        <v>2081</v>
      </c>
      <c r="J798" s="12" t="str">
        <f>HYPERLINK("https://www.boe.es/gazeta/dias/1804/10/26/pdfs/GMD-1804-86.pdf#page=6","Abrir facsímil")</f>
        <v>Abrir facsímil</v>
      </c>
      <c r="K798" s="15" t="s">
        <v>22</v>
      </c>
    </row>
    <row r="799" spans="1:11" ht="42" customHeight="1">
      <c r="A799" s="4" t="s">
        <v>2082</v>
      </c>
      <c r="B799" s="5" t="s">
        <v>2083</v>
      </c>
      <c r="C799" s="5" t="s">
        <v>120</v>
      </c>
      <c r="D799" s="5" t="s">
        <v>121</v>
      </c>
      <c r="E799" s="5" t="s">
        <v>33</v>
      </c>
      <c r="F799" s="9">
        <v>48</v>
      </c>
      <c r="G799" s="9" t="s">
        <v>819</v>
      </c>
      <c r="H799" s="5" t="s">
        <v>20</v>
      </c>
      <c r="I799" s="5" t="s">
        <v>2084</v>
      </c>
      <c r="J799" s="12" t="str">
        <f>HYPERLINK("https://www.boe.es/gazeta/dias/1804/06/15/pdfs/GMD-C-1804-48.pdf#page=4","Abrir facsímil")</f>
        <v>Abrir facsímil</v>
      </c>
      <c r="K799" s="15" t="s">
        <v>22</v>
      </c>
    </row>
    <row r="800" spans="1:11" ht="42" customHeight="1">
      <c r="A800" s="4" t="s">
        <v>2085</v>
      </c>
      <c r="B800" s="5" t="s">
        <v>2086</v>
      </c>
      <c r="C800" s="5" t="s">
        <v>27</v>
      </c>
      <c r="D800" s="5" t="s">
        <v>28</v>
      </c>
      <c r="E800" s="5" t="s">
        <v>81</v>
      </c>
      <c r="F800" s="9">
        <v>98</v>
      </c>
      <c r="G800" s="9">
        <v>1089</v>
      </c>
      <c r="H800" s="5" t="s">
        <v>20</v>
      </c>
      <c r="I800" s="5" t="s">
        <v>2087</v>
      </c>
      <c r="J800" s="12" t="str">
        <f>HYPERLINK("https://www.boe.es/gazeta/dias/1804/12/07/pdfs/GMD-1804-98.pdf#page=5","Abrir facsímil")</f>
        <v>Abrir facsímil</v>
      </c>
      <c r="K800" s="15" t="s">
        <v>22</v>
      </c>
    </row>
    <row r="801" spans="1:11" ht="42" customHeight="1">
      <c r="A801" s="4" t="s">
        <v>2088</v>
      </c>
      <c r="B801" s="5" t="s">
        <v>2089</v>
      </c>
      <c r="C801" s="5" t="s">
        <v>17</v>
      </c>
      <c r="D801" s="5" t="s">
        <v>18</v>
      </c>
      <c r="E801" s="5" t="s">
        <v>29</v>
      </c>
      <c r="F801" s="9">
        <v>88</v>
      </c>
      <c r="G801" s="9">
        <v>977</v>
      </c>
      <c r="H801" s="5" t="s">
        <v>20</v>
      </c>
      <c r="I801" s="5" t="s">
        <v>2090</v>
      </c>
      <c r="J801" s="12" t="str">
        <f>HYPERLINK("https://www.boe.es/gazeta/dias/1804/11/02/pdfs/GMD-1804-88.pdf#page=9","Abrir facsímil")</f>
        <v>Abrir facsímil</v>
      </c>
      <c r="K801" s="15" t="s">
        <v>22</v>
      </c>
    </row>
    <row r="802" spans="1:11" ht="42" customHeight="1">
      <c r="A802" s="4" t="s">
        <v>2088</v>
      </c>
      <c r="B802" s="5" t="s">
        <v>2089</v>
      </c>
      <c r="C802" s="5" t="s">
        <v>17</v>
      </c>
      <c r="D802" s="5" t="s">
        <v>18</v>
      </c>
      <c r="E802" s="5" t="s">
        <v>50</v>
      </c>
      <c r="F802" s="9">
        <v>93</v>
      </c>
      <c r="G802" s="9">
        <v>1031</v>
      </c>
      <c r="H802" s="5" t="s">
        <v>20</v>
      </c>
      <c r="I802" s="5" t="s">
        <v>2091</v>
      </c>
      <c r="J802" s="12" t="str">
        <f>HYPERLINK("https://www.boe.es/gazeta/dias/1804/11/20/pdfs/GMD-1804-93.pdf#page=7","Abrir facsímil")</f>
        <v>Abrir facsímil</v>
      </c>
      <c r="K802" s="15" t="s">
        <v>22</v>
      </c>
    </row>
    <row r="803" spans="1:11" ht="42" customHeight="1">
      <c r="A803" s="4" t="s">
        <v>2092</v>
      </c>
      <c r="B803" s="5" t="s">
        <v>2093</v>
      </c>
      <c r="C803" s="5" t="s">
        <v>65</v>
      </c>
      <c r="D803" s="5" t="s">
        <v>66</v>
      </c>
      <c r="E803" s="5" t="s">
        <v>326</v>
      </c>
      <c r="F803" s="9">
        <v>69</v>
      </c>
      <c r="G803" s="9">
        <v>775</v>
      </c>
      <c r="H803" s="5" t="s">
        <v>20</v>
      </c>
      <c r="I803" s="5" t="s">
        <v>2094</v>
      </c>
      <c r="J803" s="12" t="str">
        <f>HYPERLINK("https://www.boe.es/gazeta/dias/1804/08/28/pdfs/GMD-1804-69.pdf#page=9","Abrir facsímil")</f>
        <v>Abrir facsímil</v>
      </c>
      <c r="K803" s="15" t="s">
        <v>22</v>
      </c>
    </row>
    <row r="804" spans="1:11" ht="42" customHeight="1">
      <c r="A804" s="4" t="s">
        <v>2095</v>
      </c>
      <c r="B804" s="5" t="s">
        <v>2096</v>
      </c>
      <c r="C804" s="5" t="s">
        <v>27</v>
      </c>
      <c r="D804" s="5" t="s">
        <v>28</v>
      </c>
      <c r="E804" s="5" t="s">
        <v>33</v>
      </c>
      <c r="F804" s="9">
        <v>48</v>
      </c>
      <c r="G804" s="9">
        <v>537</v>
      </c>
      <c r="H804" s="5" t="s">
        <v>20</v>
      </c>
      <c r="I804" s="5" t="s">
        <v>2097</v>
      </c>
      <c r="J804" s="12" t="str">
        <f>HYPERLINK("https://www.boe.es/gazeta/dias/1804/06/15/pdfs/GMD-1804-48.pdf#page=7","Abrir facsímil")</f>
        <v>Abrir facsímil</v>
      </c>
      <c r="K804" s="15" t="s">
        <v>22</v>
      </c>
    </row>
    <row r="805" spans="1:11" ht="42" customHeight="1">
      <c r="A805" s="4" t="s">
        <v>2098</v>
      </c>
      <c r="B805" s="5" t="s">
        <v>2099</v>
      </c>
      <c r="C805" s="5" t="s">
        <v>17</v>
      </c>
      <c r="D805" s="5" t="s">
        <v>18</v>
      </c>
      <c r="E805" s="5" t="s">
        <v>216</v>
      </c>
      <c r="F805" s="9">
        <v>67</v>
      </c>
      <c r="G805" s="9">
        <v>748</v>
      </c>
      <c r="H805" s="5" t="s">
        <v>20</v>
      </c>
      <c r="I805" s="5" t="s">
        <v>2100</v>
      </c>
      <c r="J805" s="12" t="str">
        <f>HYPERLINK("https://www.boe.es/gazeta/dias/1804/08/21/pdfs/GMD-1804-67.pdf#page=6","Abrir facsímil")</f>
        <v>Abrir facsímil</v>
      </c>
      <c r="K805" s="15" t="s">
        <v>22</v>
      </c>
    </row>
    <row r="806" spans="1:11" ht="42" customHeight="1">
      <c r="A806" s="4" t="s">
        <v>2101</v>
      </c>
      <c r="B806" s="5" t="s">
        <v>2102</v>
      </c>
      <c r="C806" s="5" t="s">
        <v>27</v>
      </c>
      <c r="D806" s="5" t="s">
        <v>28</v>
      </c>
      <c r="E806" s="5" t="s">
        <v>77</v>
      </c>
      <c r="F806" s="9">
        <v>32</v>
      </c>
      <c r="G806" s="9">
        <v>356</v>
      </c>
      <c r="H806" s="5" t="s">
        <v>20</v>
      </c>
      <c r="I806" s="5" t="s">
        <v>2103</v>
      </c>
      <c r="J806" s="12" t="str">
        <f>HYPERLINK("https://www.boe.es/gazeta/dias/1804/04/20/pdfs/GMD-1804-32.pdf#page=10","Abrir facsímil")</f>
        <v>Abrir facsímil</v>
      </c>
      <c r="K806" s="15" t="s">
        <v>22</v>
      </c>
    </row>
    <row r="807" spans="1:11" ht="42" customHeight="1">
      <c r="A807" s="4" t="s">
        <v>2104</v>
      </c>
      <c r="B807" s="5" t="s">
        <v>2105</v>
      </c>
      <c r="C807" s="5" t="s">
        <v>27</v>
      </c>
      <c r="D807" s="5" t="s">
        <v>28</v>
      </c>
      <c r="E807" s="5" t="s">
        <v>19</v>
      </c>
      <c r="F807" s="9">
        <v>60</v>
      </c>
      <c r="G807" s="9">
        <v>665</v>
      </c>
      <c r="H807" s="5" t="s">
        <v>20</v>
      </c>
      <c r="I807" s="5" t="s">
        <v>2106</v>
      </c>
      <c r="J807" s="12" t="str">
        <f>HYPERLINK("https://www.boe.es/gazeta/dias/1804/07/27/pdfs/GMD-1804-60.pdf#page=7","Abrir facsímil")</f>
        <v>Abrir facsímil</v>
      </c>
      <c r="K807" s="15" t="s">
        <v>22</v>
      </c>
    </row>
    <row r="808" spans="1:11" ht="42" customHeight="1">
      <c r="A808" s="4" t="s">
        <v>2107</v>
      </c>
      <c r="B808" s="5" t="s">
        <v>2108</v>
      </c>
      <c r="C808" s="5" t="s">
        <v>27</v>
      </c>
      <c r="D808" s="5" t="s">
        <v>28</v>
      </c>
      <c r="E808" s="5" t="s">
        <v>182</v>
      </c>
      <c r="F808" s="9">
        <v>21</v>
      </c>
      <c r="G808" s="9">
        <v>234</v>
      </c>
      <c r="H808" s="5" t="s">
        <v>20</v>
      </c>
      <c r="I808" s="5" t="s">
        <v>2109</v>
      </c>
      <c r="J808" s="12" t="str">
        <f>HYPERLINK("https://www.boe.es/gazeta/dias/1804/03/13/pdfs/GMD-1804-21.pdf#page=10","Abrir facsímil")</f>
        <v>Abrir facsímil</v>
      </c>
      <c r="K808" s="15" t="s">
        <v>22</v>
      </c>
    </row>
    <row r="809" spans="1:11" ht="42" customHeight="1">
      <c r="A809" s="4" t="s">
        <v>2110</v>
      </c>
      <c r="B809" s="5" t="s">
        <v>2110</v>
      </c>
      <c r="C809" s="5" t="s">
        <v>262</v>
      </c>
      <c r="D809" s="5" t="s">
        <v>263</v>
      </c>
      <c r="E809" s="5" t="s">
        <v>264</v>
      </c>
      <c r="F809" s="9">
        <v>49</v>
      </c>
      <c r="G809" s="9" t="s">
        <v>2111</v>
      </c>
      <c r="H809" s="5" t="s">
        <v>20</v>
      </c>
      <c r="I809" s="5" t="s">
        <v>2112</v>
      </c>
      <c r="J809" s="12" t="str">
        <f>HYPERLINK("https://www.boe.es/gazeta/dias/1804/06/19/pdfs/GMD-C-1804-49.pdf#page=12","Abrir facsímil")</f>
        <v>Abrir facsímil</v>
      </c>
      <c r="K809" s="15" t="s">
        <v>22</v>
      </c>
    </row>
    <row r="810" spans="1:11" ht="42" customHeight="1">
      <c r="A810" s="4" t="s">
        <v>2113</v>
      </c>
      <c r="B810" s="5" t="s">
        <v>2113</v>
      </c>
      <c r="C810" s="5" t="s">
        <v>27</v>
      </c>
      <c r="D810" s="5" t="s">
        <v>28</v>
      </c>
      <c r="E810" s="5" t="s">
        <v>37</v>
      </c>
      <c r="F810" s="9">
        <v>29</v>
      </c>
      <c r="G810" s="9">
        <v>319</v>
      </c>
      <c r="H810" s="5" t="s">
        <v>20</v>
      </c>
      <c r="I810" s="5" t="s">
        <v>2114</v>
      </c>
      <c r="J810" s="12" t="str">
        <f>HYPERLINK("https://www.boe.es/gazeta/dias/1804/04/10/pdfs/GMD-1804-29.pdf#page=9","Abrir facsímil")</f>
        <v>Abrir facsímil</v>
      </c>
      <c r="K810" s="15" t="s">
        <v>22</v>
      </c>
    </row>
    <row r="811" spans="1:11" ht="42" customHeight="1">
      <c r="A811" s="4" t="s">
        <v>2115</v>
      </c>
      <c r="B811" s="5" t="s">
        <v>2115</v>
      </c>
      <c r="C811" s="5" t="s">
        <v>120</v>
      </c>
      <c r="D811" s="5" t="s">
        <v>121</v>
      </c>
      <c r="E811" s="5" t="s">
        <v>33</v>
      </c>
      <c r="F811" s="9">
        <v>48</v>
      </c>
      <c r="G811" s="9" t="s">
        <v>285</v>
      </c>
      <c r="H811" s="5" t="s">
        <v>20</v>
      </c>
      <c r="I811" s="5" t="s">
        <v>2116</v>
      </c>
      <c r="J811" s="12" t="str">
        <f>HYPERLINK("https://www.boe.es/gazeta/dias/1804/06/15/pdfs/GMD-C-1804-48.pdf#page=2","Abrir facsímil")</f>
        <v>Abrir facsímil</v>
      </c>
      <c r="K811" s="15" t="s">
        <v>22</v>
      </c>
    </row>
    <row r="812" spans="1:11" ht="42" customHeight="1">
      <c r="A812" s="4" t="s">
        <v>2117</v>
      </c>
      <c r="B812" s="5" t="s">
        <v>2117</v>
      </c>
      <c r="C812" s="5" t="s">
        <v>27</v>
      </c>
      <c r="D812" s="5" t="s">
        <v>28</v>
      </c>
      <c r="E812" s="5" t="s">
        <v>33</v>
      </c>
      <c r="F812" s="9">
        <v>48</v>
      </c>
      <c r="G812" s="9">
        <v>537</v>
      </c>
      <c r="H812" s="5" t="s">
        <v>20</v>
      </c>
      <c r="I812" s="5" t="s">
        <v>2118</v>
      </c>
      <c r="J812" s="12" t="str">
        <f>HYPERLINK("https://www.boe.es/gazeta/dias/1804/06/15/pdfs/GMD-1804-48.pdf#page=7","Abrir facsímil")</f>
        <v>Abrir facsímil</v>
      </c>
      <c r="K812" s="15" t="s">
        <v>22</v>
      </c>
    </row>
    <row r="813" spans="1:11" ht="42" customHeight="1">
      <c r="A813" s="4" t="s">
        <v>2119</v>
      </c>
      <c r="B813" s="5" t="s">
        <v>2120</v>
      </c>
      <c r="C813" s="5" t="s">
        <v>17</v>
      </c>
      <c r="D813" s="5" t="s">
        <v>18</v>
      </c>
      <c r="E813" s="5" t="s">
        <v>421</v>
      </c>
      <c r="F813" s="9">
        <v>47</v>
      </c>
      <c r="G813" s="9">
        <v>527</v>
      </c>
      <c r="H813" s="5" t="s">
        <v>20</v>
      </c>
      <c r="I813" s="5" t="s">
        <v>2121</v>
      </c>
      <c r="J813" s="12" t="str">
        <f>HYPERLINK("https://www.boe.es/gazeta/dias/1804/06/12/pdfs/GMD-1804-47.pdf#page=9","Abrir facsímil")</f>
        <v>Abrir facsímil</v>
      </c>
      <c r="K813" s="15" t="s">
        <v>22</v>
      </c>
    </row>
    <row r="814" spans="1:11" ht="42" customHeight="1">
      <c r="A814" s="4" t="s">
        <v>2122</v>
      </c>
      <c r="B814" s="5" t="s">
        <v>2123</v>
      </c>
      <c r="C814" s="5" t="s">
        <v>85</v>
      </c>
      <c r="D814" s="5" t="s">
        <v>86</v>
      </c>
      <c r="E814" s="5" t="s">
        <v>264</v>
      </c>
      <c r="F814" s="9">
        <v>49</v>
      </c>
      <c r="G814" s="9" t="s">
        <v>265</v>
      </c>
      <c r="H814" s="5" t="s">
        <v>20</v>
      </c>
      <c r="I814" s="5" t="s">
        <v>2124</v>
      </c>
      <c r="J814" s="12" t="str">
        <f>HYPERLINK("https://www.boe.es/gazeta/dias/1804/06/19/pdfs/GMD-C-1804-49.pdf#page=9","Abrir facsímil")</f>
        <v>Abrir facsímil</v>
      </c>
      <c r="K814" s="15" t="s">
        <v>22</v>
      </c>
    </row>
    <row r="815" spans="1:11" ht="42" customHeight="1">
      <c r="A815" s="4" t="s">
        <v>2125</v>
      </c>
      <c r="B815" s="5" t="s">
        <v>2126</v>
      </c>
      <c r="C815" s="5" t="s">
        <v>262</v>
      </c>
      <c r="D815" s="5" t="s">
        <v>263</v>
      </c>
      <c r="E815" s="5" t="s">
        <v>264</v>
      </c>
      <c r="F815" s="9">
        <v>49</v>
      </c>
      <c r="G815" s="9" t="s">
        <v>2127</v>
      </c>
      <c r="H815" s="5" t="s">
        <v>20</v>
      </c>
      <c r="I815" s="5" t="s">
        <v>2128</v>
      </c>
      <c r="J815" s="12" t="str">
        <f>HYPERLINK("https://www.boe.es/gazeta/dias/1804/06/19/pdfs/GMD-C-1804-49.pdf#page=11","Abrir facsímil")</f>
        <v>Abrir facsímil</v>
      </c>
      <c r="K815" s="15" t="s">
        <v>22</v>
      </c>
    </row>
    <row r="816" spans="1:11" ht="42" customHeight="1">
      <c r="A816" s="4" t="s">
        <v>2125</v>
      </c>
      <c r="B816" s="5" t="s">
        <v>2126</v>
      </c>
      <c r="C816" s="5" t="s">
        <v>85</v>
      </c>
      <c r="D816" s="5" t="s">
        <v>86</v>
      </c>
      <c r="E816" s="5" t="s">
        <v>542</v>
      </c>
      <c r="F816" s="9">
        <v>54</v>
      </c>
      <c r="G816" s="9">
        <v>602</v>
      </c>
      <c r="H816" s="5" t="s">
        <v>20</v>
      </c>
      <c r="I816" s="5" t="s">
        <v>2129</v>
      </c>
      <c r="J816" s="12" t="str">
        <f>HYPERLINK("https://www.boe.es/gazeta/dias/1804/07/06/pdfs/GMD-1804-54.pdf#page=8","Abrir facsímil")</f>
        <v>Abrir facsímil</v>
      </c>
      <c r="K816" s="15" t="s">
        <v>22</v>
      </c>
    </row>
    <row r="817" spans="1:11" ht="42" customHeight="1">
      <c r="A817" s="4" t="s">
        <v>2130</v>
      </c>
      <c r="B817" s="5" t="s">
        <v>2130</v>
      </c>
      <c r="C817" s="5" t="s">
        <v>27</v>
      </c>
      <c r="D817" s="5" t="s">
        <v>28</v>
      </c>
      <c r="E817" s="5" t="s">
        <v>71</v>
      </c>
      <c r="F817" s="9">
        <v>99</v>
      </c>
      <c r="G817" s="9">
        <v>1108</v>
      </c>
      <c r="H817" s="5" t="s">
        <v>20</v>
      </c>
      <c r="I817" s="5" t="s">
        <v>2131</v>
      </c>
      <c r="J817" s="12" t="str">
        <f>HYPERLINK("https://www.boe.es/gazeta/dias/1804/12/11/pdfs/GMD-1804-99.pdf#page=8","Abrir facsímil")</f>
        <v>Abrir facsímil</v>
      </c>
      <c r="K817" s="15" t="s">
        <v>22</v>
      </c>
    </row>
    <row r="818" spans="1:11" ht="42" customHeight="1">
      <c r="A818" s="4" t="s">
        <v>2132</v>
      </c>
      <c r="B818" s="5" t="s">
        <v>2133</v>
      </c>
      <c r="C818" s="5" t="s">
        <v>27</v>
      </c>
      <c r="D818" s="5" t="s">
        <v>28</v>
      </c>
      <c r="E818" s="5" t="s">
        <v>199</v>
      </c>
      <c r="F818" s="9">
        <v>46</v>
      </c>
      <c r="G818" s="9">
        <v>512</v>
      </c>
      <c r="H818" s="5" t="s">
        <v>20</v>
      </c>
      <c r="I818" s="5" t="s">
        <v>2134</v>
      </c>
      <c r="J818" s="12" t="str">
        <f>HYPERLINK("https://www.boe.es/gazeta/dias/1804/06/08/pdfs/GMD-1804-46.pdf#page=10","Abrir facsímil")</f>
        <v>Abrir facsímil</v>
      </c>
      <c r="K818" s="15" t="s">
        <v>22</v>
      </c>
    </row>
    <row r="819" spans="1:11" ht="42" customHeight="1">
      <c r="A819" s="4" t="s">
        <v>2135</v>
      </c>
      <c r="B819" s="5" t="s">
        <v>2136</v>
      </c>
      <c r="C819" s="5" t="s">
        <v>17</v>
      </c>
      <c r="D819" s="5" t="s">
        <v>18</v>
      </c>
      <c r="E819" s="5" t="s">
        <v>542</v>
      </c>
      <c r="F819" s="9">
        <v>54</v>
      </c>
      <c r="G819" s="9">
        <v>602</v>
      </c>
      <c r="H819" s="5" t="s">
        <v>20</v>
      </c>
      <c r="I819" s="5" t="s">
        <v>2137</v>
      </c>
      <c r="J819" s="12" t="str">
        <f>HYPERLINK("https://www.boe.es/gazeta/dias/1804/07/06/pdfs/GMD-1804-54.pdf#page=8","Abrir facsímil")</f>
        <v>Abrir facsímil</v>
      </c>
      <c r="K819" s="15" t="s">
        <v>22</v>
      </c>
    </row>
    <row r="820" spans="1:11" ht="42" customHeight="1">
      <c r="A820" s="4" t="s">
        <v>2138</v>
      </c>
      <c r="B820" s="5" t="s">
        <v>2138</v>
      </c>
      <c r="C820" s="5" t="s">
        <v>57</v>
      </c>
      <c r="D820" s="5" t="s">
        <v>58</v>
      </c>
      <c r="E820" s="5" t="s">
        <v>212</v>
      </c>
      <c r="F820" s="9">
        <v>89</v>
      </c>
      <c r="G820" s="9">
        <v>988</v>
      </c>
      <c r="H820" s="5" t="s">
        <v>20</v>
      </c>
      <c r="I820" s="5" t="s">
        <v>2139</v>
      </c>
      <c r="J820" s="12" t="str">
        <f>HYPERLINK("https://www.boe.es/gazeta/dias/1804/11/06/pdfs/GMD-1804-89.pdf#page=8","Abrir facsímil")</f>
        <v>Abrir facsímil</v>
      </c>
      <c r="K820" s="15" t="s">
        <v>22</v>
      </c>
    </row>
    <row r="821" spans="1:11" ht="42" customHeight="1">
      <c r="A821" s="4" t="s">
        <v>2138</v>
      </c>
      <c r="B821" s="5" t="s">
        <v>2138</v>
      </c>
      <c r="C821" s="5" t="s">
        <v>57</v>
      </c>
      <c r="D821" s="5" t="s">
        <v>58</v>
      </c>
      <c r="E821" s="5" t="s">
        <v>50</v>
      </c>
      <c r="F821" s="9">
        <v>93</v>
      </c>
      <c r="G821" s="9">
        <v>1029</v>
      </c>
      <c r="H821" s="5" t="s">
        <v>20</v>
      </c>
      <c r="I821" s="5" t="s">
        <v>2140</v>
      </c>
      <c r="J821" s="12" t="str">
        <f>HYPERLINK("https://www.boe.es/gazeta/dias/1804/11/20/pdfs/GMD-1804-93.pdf#page=5","Abrir facsímil")</f>
        <v>Abrir facsímil</v>
      </c>
      <c r="K821" s="15" t="s">
        <v>22</v>
      </c>
    </row>
    <row r="822" spans="1:11" ht="42" customHeight="1">
      <c r="A822" s="4" t="s">
        <v>2141</v>
      </c>
      <c r="B822" s="5" t="s">
        <v>2142</v>
      </c>
      <c r="C822" s="5" t="s">
        <v>17</v>
      </c>
      <c r="D822" s="5" t="s">
        <v>18</v>
      </c>
      <c r="E822" s="5" t="s">
        <v>71</v>
      </c>
      <c r="F822" s="9">
        <v>99</v>
      </c>
      <c r="G822" s="9">
        <v>1107</v>
      </c>
      <c r="H822" s="5" t="s">
        <v>20</v>
      </c>
      <c r="I822" s="5" t="s">
        <v>2143</v>
      </c>
      <c r="J822" s="12" t="str">
        <f>HYPERLINK("https://www.boe.es/gazeta/dias/1804/12/11/pdfs/GMD-1804-99.pdf#page=7","Abrir facsímil")</f>
        <v>Abrir facsímil</v>
      </c>
      <c r="K822" s="15" t="s">
        <v>22</v>
      </c>
    </row>
    <row r="823" spans="1:11" ht="42" customHeight="1">
      <c r="A823" s="4" t="s">
        <v>2144</v>
      </c>
      <c r="B823" s="5" t="s">
        <v>2144</v>
      </c>
      <c r="C823" s="5" t="s">
        <v>27</v>
      </c>
      <c r="D823" s="5" t="s">
        <v>28</v>
      </c>
      <c r="E823" s="5" t="s">
        <v>47</v>
      </c>
      <c r="F823" s="9">
        <v>78</v>
      </c>
      <c r="G823" s="9">
        <v>868</v>
      </c>
      <c r="H823" s="5" t="s">
        <v>20</v>
      </c>
      <c r="I823" s="5" t="s">
        <v>2145</v>
      </c>
      <c r="J823" s="12" t="str">
        <f>HYPERLINK("https://www.boe.es/gazeta/dias/1804/09/28/pdfs/GMD-1804-78.pdf#page=6","Abrir facsímil")</f>
        <v>Abrir facsímil</v>
      </c>
      <c r="K823" s="15" t="s">
        <v>22</v>
      </c>
    </row>
    <row r="824" spans="1:11" ht="42" customHeight="1">
      <c r="A824" s="4" t="s">
        <v>2146</v>
      </c>
      <c r="B824" s="5" t="s">
        <v>2147</v>
      </c>
      <c r="C824" s="5" t="s">
        <v>85</v>
      </c>
      <c r="D824" s="5" t="s">
        <v>86</v>
      </c>
      <c r="E824" s="5" t="s">
        <v>245</v>
      </c>
      <c r="F824" s="9">
        <v>6</v>
      </c>
      <c r="G824" s="9">
        <v>60</v>
      </c>
      <c r="H824" s="5" t="s">
        <v>20</v>
      </c>
      <c r="I824" s="5" t="s">
        <v>2148</v>
      </c>
      <c r="J824" s="12" t="str">
        <f>HYPERLINK("https://www.boe.es/gazeta/dias/1804/01/20/pdfs/GMD-1804-6.pdf#page=12","Abrir facsímil")</f>
        <v>Abrir facsímil</v>
      </c>
      <c r="K824" s="15" t="s">
        <v>22</v>
      </c>
    </row>
    <row r="825" spans="1:11" ht="42" customHeight="1">
      <c r="A825" s="4" t="s">
        <v>2149</v>
      </c>
      <c r="B825" s="5" t="s">
        <v>2149</v>
      </c>
      <c r="C825" s="5" t="s">
        <v>27</v>
      </c>
      <c r="D825" s="5" t="s">
        <v>28</v>
      </c>
      <c r="E825" s="5" t="s">
        <v>453</v>
      </c>
      <c r="F825" s="9">
        <v>33</v>
      </c>
      <c r="G825" s="9">
        <v>366</v>
      </c>
      <c r="H825" s="5" t="s">
        <v>20</v>
      </c>
      <c r="I825" s="5" t="s">
        <v>2150</v>
      </c>
      <c r="J825" s="12" t="str">
        <f>HYPERLINK("https://www.boe.es/gazeta/dias/1804/04/24/pdfs/GMD-1804-33.pdf#page=8","Abrir facsímil")</f>
        <v>Abrir facsímil</v>
      </c>
      <c r="K825" s="15" t="s">
        <v>22</v>
      </c>
    </row>
    <row r="826" spans="1:11" ht="42" customHeight="1">
      <c r="A826" s="4" t="s">
        <v>2151</v>
      </c>
      <c r="B826" s="5" t="s">
        <v>2151</v>
      </c>
      <c r="C826" s="5" t="s">
        <v>17</v>
      </c>
      <c r="D826" s="5" t="s">
        <v>18</v>
      </c>
      <c r="E826" s="5" t="s">
        <v>143</v>
      </c>
      <c r="F826" s="9">
        <v>87</v>
      </c>
      <c r="G826" s="9">
        <v>966</v>
      </c>
      <c r="H826" s="5" t="s">
        <v>20</v>
      </c>
      <c r="I826" s="5" t="s">
        <v>2152</v>
      </c>
      <c r="J826" s="12" t="str">
        <f>HYPERLINK("https://www.boe.es/gazeta/dias/1804/10/30/pdfs/GMD-1804-87.pdf#page=10","Abrir facsímil")</f>
        <v>Abrir facsímil</v>
      </c>
      <c r="K826" s="15" t="s">
        <v>22</v>
      </c>
    </row>
    <row r="827" spans="1:11" ht="42" customHeight="1">
      <c r="A827" s="4" t="s">
        <v>2153</v>
      </c>
      <c r="B827" s="5" t="s">
        <v>2153</v>
      </c>
      <c r="C827" s="5" t="s">
        <v>65</v>
      </c>
      <c r="D827" s="5" t="s">
        <v>66</v>
      </c>
      <c r="E827" s="5" t="s">
        <v>576</v>
      </c>
      <c r="F827" s="9">
        <v>85</v>
      </c>
      <c r="G827" s="9">
        <v>939</v>
      </c>
      <c r="H827" s="5" t="s">
        <v>20</v>
      </c>
      <c r="I827" s="5" t="s">
        <v>2154</v>
      </c>
      <c r="J827" s="12" t="str">
        <f>HYPERLINK("https://www.boe.es/gazeta/dias/1804/10/23/pdfs/GMD-1804-85.pdf#page=9","Abrir facsímil")</f>
        <v>Abrir facsímil</v>
      </c>
      <c r="K827" s="15" t="s">
        <v>22</v>
      </c>
    </row>
    <row r="828" spans="1:11" ht="42" customHeight="1">
      <c r="A828" s="4" t="s">
        <v>2155</v>
      </c>
      <c r="B828" s="5" t="s">
        <v>2155</v>
      </c>
      <c r="C828" s="5" t="s">
        <v>27</v>
      </c>
      <c r="D828" s="5" t="s">
        <v>28</v>
      </c>
      <c r="E828" s="5" t="s">
        <v>272</v>
      </c>
      <c r="F828" s="9">
        <v>30</v>
      </c>
      <c r="G828" s="9">
        <v>331</v>
      </c>
      <c r="H828" s="5" t="s">
        <v>20</v>
      </c>
      <c r="I828" s="5" t="s">
        <v>2156</v>
      </c>
      <c r="J828" s="12" t="str">
        <f>HYPERLINK("https://www.boe.es/gazeta/dias/1804/04/13/pdfs/GMD-1804-30.pdf#page=9","Abrir facsímil")</f>
        <v>Abrir facsímil</v>
      </c>
      <c r="K828" s="15" t="s">
        <v>22</v>
      </c>
    </row>
    <row r="829" spans="1:11" ht="42" customHeight="1">
      <c r="A829" s="4" t="s">
        <v>2155</v>
      </c>
      <c r="B829" s="5" t="s">
        <v>2155</v>
      </c>
      <c r="C829" s="5" t="s">
        <v>27</v>
      </c>
      <c r="D829" s="5" t="s">
        <v>28</v>
      </c>
      <c r="E829" s="5" t="s">
        <v>547</v>
      </c>
      <c r="F829" s="9">
        <v>68</v>
      </c>
      <c r="G829" s="9">
        <v>764</v>
      </c>
      <c r="H829" s="5" t="s">
        <v>20</v>
      </c>
      <c r="I829" s="5" t="s">
        <v>2157</v>
      </c>
      <c r="J829" s="12" t="str">
        <f>HYPERLINK("https://www.boe.es/gazeta/dias/1804/08/24/pdfs/GMD-1804-68.pdf#page=10","Abrir facsímil")</f>
        <v>Abrir facsímil</v>
      </c>
      <c r="K829" s="15" t="s">
        <v>22</v>
      </c>
    </row>
    <row r="830" spans="1:11" ht="42" customHeight="1">
      <c r="A830" s="4" t="s">
        <v>2158</v>
      </c>
      <c r="B830" s="5" t="s">
        <v>2159</v>
      </c>
      <c r="C830" s="5" t="s">
        <v>57</v>
      </c>
      <c r="D830" s="5" t="s">
        <v>58</v>
      </c>
      <c r="E830" s="5" t="s">
        <v>75</v>
      </c>
      <c r="F830" s="9">
        <v>16</v>
      </c>
      <c r="G830" s="9">
        <v>171</v>
      </c>
      <c r="H830" s="5" t="s">
        <v>20</v>
      </c>
      <c r="I830" s="5" t="s">
        <v>2160</v>
      </c>
      <c r="J830" s="12" t="str">
        <f>HYPERLINK("https://www.boe.es/gazeta/dias/1804/02/24/pdfs/GMD-1804-16.pdf#page=7","Abrir facsímil")</f>
        <v>Abrir facsímil</v>
      </c>
      <c r="K830" s="15" t="s">
        <v>22</v>
      </c>
    </row>
    <row r="831" spans="1:11" ht="42" customHeight="1">
      <c r="A831" s="4" t="s">
        <v>2161</v>
      </c>
      <c r="B831" s="5" t="s">
        <v>2162</v>
      </c>
      <c r="C831" s="5" t="s">
        <v>27</v>
      </c>
      <c r="D831" s="5" t="s">
        <v>28</v>
      </c>
      <c r="E831" s="5" t="s">
        <v>350</v>
      </c>
      <c r="F831" s="9">
        <v>19</v>
      </c>
      <c r="G831" s="9">
        <v>204</v>
      </c>
      <c r="H831" s="5" t="s">
        <v>20</v>
      </c>
      <c r="I831" s="5" t="s">
        <v>2163</v>
      </c>
      <c r="J831" s="12" t="str">
        <f>HYPERLINK("https://www.boe.es/gazeta/dias/1804/03/06/pdfs/GMD-1804-19.pdf#page=4","Abrir facsímil")</f>
        <v>Abrir facsímil</v>
      </c>
      <c r="K831" s="15" t="s">
        <v>22</v>
      </c>
    </row>
    <row r="832" spans="1:11" ht="42" customHeight="1">
      <c r="A832" s="4" t="s">
        <v>2164</v>
      </c>
      <c r="B832" s="5" t="s">
        <v>2165</v>
      </c>
      <c r="C832" s="5" t="s">
        <v>17</v>
      </c>
      <c r="D832" s="5" t="s">
        <v>18</v>
      </c>
      <c r="E832" s="5" t="s">
        <v>71</v>
      </c>
      <c r="F832" s="9">
        <v>99</v>
      </c>
      <c r="G832" s="9">
        <v>1107</v>
      </c>
      <c r="H832" s="5" t="s">
        <v>20</v>
      </c>
      <c r="I832" s="5" t="s">
        <v>2166</v>
      </c>
      <c r="J832" s="12" t="str">
        <f>HYPERLINK("https://www.boe.es/gazeta/dias/1804/12/11/pdfs/GMD-1804-99.pdf#page=7","Abrir facsímil")</f>
        <v>Abrir facsímil</v>
      </c>
      <c r="K832" s="15" t="s">
        <v>22</v>
      </c>
    </row>
    <row r="833" spans="1:11" ht="42" customHeight="1">
      <c r="A833" s="4" t="s">
        <v>2167</v>
      </c>
      <c r="B833" s="5" t="s">
        <v>2168</v>
      </c>
      <c r="C833" s="5" t="s">
        <v>27</v>
      </c>
      <c r="D833" s="5" t="s">
        <v>28</v>
      </c>
      <c r="E833" s="5" t="s">
        <v>143</v>
      </c>
      <c r="F833" s="9">
        <v>87</v>
      </c>
      <c r="G833" s="9">
        <v>961</v>
      </c>
      <c r="H833" s="5" t="s">
        <v>20</v>
      </c>
      <c r="I833" s="5" t="s">
        <v>2169</v>
      </c>
      <c r="J833" s="12" t="str">
        <f>HYPERLINK("https://www.boe.es/gazeta/dias/1804/10/30/pdfs/GMD-1804-87.pdf#page=5","Abrir facsímil")</f>
        <v>Abrir facsímil</v>
      </c>
      <c r="K833" s="15" t="s">
        <v>22</v>
      </c>
    </row>
    <row r="834" spans="1:11" ht="42" customHeight="1">
      <c r="A834" s="4" t="s">
        <v>2170</v>
      </c>
      <c r="B834" s="5" t="s">
        <v>2171</v>
      </c>
      <c r="C834" s="5" t="s">
        <v>65</v>
      </c>
      <c r="D834" s="5" t="s">
        <v>66</v>
      </c>
      <c r="E834" s="5" t="s">
        <v>515</v>
      </c>
      <c r="F834" s="9">
        <v>102</v>
      </c>
      <c r="G834" s="9">
        <v>1139</v>
      </c>
      <c r="H834" s="5" t="s">
        <v>20</v>
      </c>
      <c r="I834" s="5" t="s">
        <v>2172</v>
      </c>
      <c r="J834" s="12" t="str">
        <f>HYPERLINK("https://www.boe.es/gazeta/dias/1804/12/21/pdfs/GMD-1804-102.pdf#page=7","Abrir facsímil")</f>
        <v>Abrir facsímil</v>
      </c>
      <c r="K834" s="15" t="s">
        <v>22</v>
      </c>
    </row>
    <row r="835" spans="1:11" ht="42" customHeight="1">
      <c r="A835" s="4" t="s">
        <v>2173</v>
      </c>
      <c r="B835" s="5" t="s">
        <v>2174</v>
      </c>
      <c r="C835" s="5" t="s">
        <v>27</v>
      </c>
      <c r="D835" s="5" t="s">
        <v>28</v>
      </c>
      <c r="E835" s="5" t="s">
        <v>245</v>
      </c>
      <c r="F835" s="9">
        <v>6</v>
      </c>
      <c r="G835" s="9">
        <v>58</v>
      </c>
      <c r="H835" s="5" t="s">
        <v>20</v>
      </c>
      <c r="I835" s="5" t="s">
        <v>2175</v>
      </c>
      <c r="J835" s="12" t="str">
        <f>HYPERLINK("https://www.boe.es/gazeta/dias/1804/01/20/pdfs/GMD-1804-6.pdf#page=10","Abrir facsímil")</f>
        <v>Abrir facsímil</v>
      </c>
      <c r="K835" s="15" t="s">
        <v>22</v>
      </c>
    </row>
    <row r="836" spans="1:11" ht="42" customHeight="1">
      <c r="A836" s="4" t="s">
        <v>2176</v>
      </c>
      <c r="B836" s="5" t="s">
        <v>2176</v>
      </c>
      <c r="C836" s="5" t="s">
        <v>57</v>
      </c>
      <c r="D836" s="5" t="s">
        <v>58</v>
      </c>
      <c r="E836" s="5" t="s">
        <v>298</v>
      </c>
      <c r="F836" s="9">
        <v>10</v>
      </c>
      <c r="G836" s="9">
        <v>106</v>
      </c>
      <c r="H836" s="5" t="s">
        <v>20</v>
      </c>
      <c r="I836" s="5" t="s">
        <v>2177</v>
      </c>
      <c r="J836" s="12" t="str">
        <f>HYPERLINK("https://www.boe.es/gazeta/dias/1804/02/03/pdfs/GMD-1804-10.pdf#page=6","Abrir facsímil")</f>
        <v>Abrir facsímil</v>
      </c>
      <c r="K836" s="15" t="s">
        <v>22</v>
      </c>
    </row>
    <row r="837" spans="1:11" ht="42" customHeight="1">
      <c r="A837" s="4" t="s">
        <v>2178</v>
      </c>
      <c r="B837" s="5" t="s">
        <v>2178</v>
      </c>
      <c r="C837" s="5" t="s">
        <v>57</v>
      </c>
      <c r="D837" s="5" t="s">
        <v>58</v>
      </c>
      <c r="E837" s="5" t="s">
        <v>298</v>
      </c>
      <c r="F837" s="9">
        <v>10</v>
      </c>
      <c r="G837" s="9">
        <v>106</v>
      </c>
      <c r="H837" s="5" t="s">
        <v>20</v>
      </c>
      <c r="I837" s="5" t="s">
        <v>2179</v>
      </c>
      <c r="J837" s="12" t="str">
        <f>HYPERLINK("https://www.boe.es/gazeta/dias/1804/02/03/pdfs/GMD-1804-10.pdf#page=6","Abrir facsímil")</f>
        <v>Abrir facsímil</v>
      </c>
      <c r="K837" s="15" t="s">
        <v>22</v>
      </c>
    </row>
    <row r="838" spans="1:11" ht="42" customHeight="1">
      <c r="A838" s="4" t="s">
        <v>2180</v>
      </c>
      <c r="B838" s="5" t="s">
        <v>2181</v>
      </c>
      <c r="C838" s="5" t="s">
        <v>17</v>
      </c>
      <c r="D838" s="5" t="s">
        <v>18</v>
      </c>
      <c r="E838" s="5" t="s">
        <v>163</v>
      </c>
      <c r="F838" s="9">
        <v>70</v>
      </c>
      <c r="G838" s="9">
        <v>784</v>
      </c>
      <c r="H838" s="5" t="s">
        <v>20</v>
      </c>
      <c r="I838" s="5" t="s">
        <v>2182</v>
      </c>
      <c r="J838" s="12" t="str">
        <f>HYPERLINK("https://www.boe.es/gazeta/dias/1804/08/31/pdfs/GMD-1804-70.pdf#page=6","Abrir facsímil")</f>
        <v>Abrir facsímil</v>
      </c>
      <c r="K838" s="15" t="s">
        <v>22</v>
      </c>
    </row>
    <row r="839" spans="1:11" ht="42" customHeight="1">
      <c r="A839" s="4" t="s">
        <v>2183</v>
      </c>
      <c r="B839" s="5" t="s">
        <v>2184</v>
      </c>
      <c r="C839" s="5" t="s">
        <v>27</v>
      </c>
      <c r="D839" s="5" t="s">
        <v>28</v>
      </c>
      <c r="E839" s="5" t="s">
        <v>19</v>
      </c>
      <c r="F839" s="9">
        <v>60</v>
      </c>
      <c r="G839" s="9">
        <v>664</v>
      </c>
      <c r="H839" s="5" t="s">
        <v>20</v>
      </c>
      <c r="I839" s="5" t="s">
        <v>2185</v>
      </c>
      <c r="J839" s="12" t="str">
        <f>HYPERLINK("https://www.boe.es/gazeta/dias/1804/07/27/pdfs/GMD-1804-60.pdf#page=6","Abrir facsímil")</f>
        <v>Abrir facsímil</v>
      </c>
      <c r="K839" s="15" t="s">
        <v>22</v>
      </c>
    </row>
    <row r="840" spans="1:11" ht="42" customHeight="1">
      <c r="A840" s="4" t="s">
        <v>2186</v>
      </c>
      <c r="B840" s="5" t="s">
        <v>2187</v>
      </c>
      <c r="C840" s="5" t="s">
        <v>27</v>
      </c>
      <c r="D840" s="5" t="s">
        <v>28</v>
      </c>
      <c r="E840" s="5" t="s">
        <v>43</v>
      </c>
      <c r="F840" s="9">
        <v>84</v>
      </c>
      <c r="G840" s="9">
        <v>928</v>
      </c>
      <c r="H840" s="5" t="s">
        <v>20</v>
      </c>
      <c r="I840" s="5" t="s">
        <v>2188</v>
      </c>
      <c r="J840" s="12" t="str">
        <f>HYPERLINK("https://www.boe.es/gazeta/dias/1804/10/19/pdfs/GMD-1804-84.pdf#page=6","Abrir facsímil")</f>
        <v>Abrir facsímil</v>
      </c>
      <c r="K840" s="15" t="s">
        <v>22</v>
      </c>
    </row>
    <row r="841" spans="1:11" ht="42" customHeight="1">
      <c r="A841" s="4" t="s">
        <v>2189</v>
      </c>
      <c r="B841" s="5" t="s">
        <v>2190</v>
      </c>
      <c r="C841" s="5" t="s">
        <v>17</v>
      </c>
      <c r="D841" s="5" t="s">
        <v>18</v>
      </c>
      <c r="E841" s="5" t="s">
        <v>29</v>
      </c>
      <c r="F841" s="9">
        <v>88</v>
      </c>
      <c r="G841" s="9">
        <v>976</v>
      </c>
      <c r="H841" s="5" t="s">
        <v>20</v>
      </c>
      <c r="I841" s="5" t="s">
        <v>2191</v>
      </c>
      <c r="J841" s="12" t="str">
        <f>HYPERLINK("https://www.boe.es/gazeta/dias/1804/11/02/pdfs/GMD-1804-88.pdf#page=8","Abrir facsímil")</f>
        <v>Abrir facsímil</v>
      </c>
      <c r="K841" s="15" t="s">
        <v>22</v>
      </c>
    </row>
    <row r="842" spans="1:11" ht="42" customHeight="1">
      <c r="A842" s="4" t="s">
        <v>2192</v>
      </c>
      <c r="B842" s="5" t="s">
        <v>2193</v>
      </c>
      <c r="C842" s="5" t="s">
        <v>27</v>
      </c>
      <c r="D842" s="5" t="s">
        <v>28</v>
      </c>
      <c r="E842" s="5" t="s">
        <v>666</v>
      </c>
      <c r="F842" s="9">
        <v>57</v>
      </c>
      <c r="G842" s="9">
        <v>632</v>
      </c>
      <c r="H842" s="5" t="s">
        <v>20</v>
      </c>
      <c r="I842" s="5" t="s">
        <v>2194</v>
      </c>
      <c r="J842" s="12" t="str">
        <f>HYPERLINK("https://www.boe.es/gazeta/dias/1804/07/17/pdfs/GMD-1804-57.pdf#page=10","Abrir facsímil")</f>
        <v>Abrir facsímil</v>
      </c>
      <c r="K842" s="15" t="s">
        <v>22</v>
      </c>
    </row>
    <row r="843" spans="1:11" ht="42" customHeight="1">
      <c r="A843" s="4" t="s">
        <v>2195</v>
      </c>
      <c r="B843" s="5" t="s">
        <v>2196</v>
      </c>
      <c r="C843" s="5" t="s">
        <v>27</v>
      </c>
      <c r="D843" s="5" t="s">
        <v>28</v>
      </c>
      <c r="E843" s="5" t="s">
        <v>19</v>
      </c>
      <c r="F843" s="9">
        <v>60</v>
      </c>
      <c r="G843" s="9">
        <v>668</v>
      </c>
      <c r="H843" s="5" t="s">
        <v>20</v>
      </c>
      <c r="I843" s="5" t="s">
        <v>2197</v>
      </c>
      <c r="J843" s="12" t="str">
        <f>HYPERLINK("https://www.boe.es/gazeta/dias/1804/07/27/pdfs/GMD-1804-60.pdf#page=10","Abrir facsímil")</f>
        <v>Abrir facsímil</v>
      </c>
      <c r="K843" s="15" t="s">
        <v>22</v>
      </c>
    </row>
    <row r="844" spans="1:11" ht="42" customHeight="1">
      <c r="A844" s="4" t="s">
        <v>2198</v>
      </c>
      <c r="B844" s="5" t="s">
        <v>2199</v>
      </c>
      <c r="C844" s="5" t="s">
        <v>65</v>
      </c>
      <c r="D844" s="5" t="s">
        <v>66</v>
      </c>
      <c r="E844" s="5" t="s">
        <v>1179</v>
      </c>
      <c r="F844" s="9">
        <v>43</v>
      </c>
      <c r="G844" s="9">
        <v>479</v>
      </c>
      <c r="H844" s="5" t="s">
        <v>20</v>
      </c>
      <c r="I844" s="5" t="s">
        <v>2200</v>
      </c>
      <c r="J844" s="12" t="str">
        <f>HYPERLINK("https://www.boe.es/gazeta/dias/1804/05/29/pdfs/GMD-1804-43.pdf#page=5","Abrir facsímil")</f>
        <v>Abrir facsímil</v>
      </c>
      <c r="K844" s="15" t="s">
        <v>22</v>
      </c>
    </row>
    <row r="845" spans="1:11" ht="42" customHeight="1">
      <c r="A845" s="4" t="s">
        <v>2201</v>
      </c>
      <c r="B845" s="5" t="s">
        <v>2202</v>
      </c>
      <c r="C845" s="5" t="s">
        <v>85</v>
      </c>
      <c r="D845" s="5" t="s">
        <v>86</v>
      </c>
      <c r="E845" s="5" t="s">
        <v>709</v>
      </c>
      <c r="F845" s="9">
        <v>82</v>
      </c>
      <c r="G845" s="9">
        <v>907</v>
      </c>
      <c r="H845" s="5" t="s">
        <v>20</v>
      </c>
      <c r="I845" s="5" t="s">
        <v>2203</v>
      </c>
      <c r="J845" s="12" t="str">
        <f>HYPERLINK("https://www.boe.es/gazeta/dias/1804/10/12/pdfs/GMD-1804-82.pdf#page=9","Abrir facsímil")</f>
        <v>Abrir facsímil</v>
      </c>
      <c r="K845" s="15" t="s">
        <v>22</v>
      </c>
    </row>
    <row r="846" spans="1:11" ht="42" customHeight="1">
      <c r="A846" s="4" t="s">
        <v>2204</v>
      </c>
      <c r="B846" s="5" t="s">
        <v>2205</v>
      </c>
      <c r="C846" s="5" t="s">
        <v>85</v>
      </c>
      <c r="D846" s="5" t="s">
        <v>86</v>
      </c>
      <c r="E846" s="5" t="s">
        <v>367</v>
      </c>
      <c r="F846" s="9">
        <v>64</v>
      </c>
      <c r="G846" s="9">
        <v>716</v>
      </c>
      <c r="H846" s="5" t="s">
        <v>20</v>
      </c>
      <c r="I846" s="5" t="s">
        <v>2206</v>
      </c>
      <c r="J846" s="12" t="str">
        <f>HYPERLINK("https://www.boe.es/gazeta/dias/1804/08/10/pdfs/GMD-1804-64.pdf#page=10","Abrir facsímil")</f>
        <v>Abrir facsímil</v>
      </c>
      <c r="K846" s="15" t="s">
        <v>22</v>
      </c>
    </row>
    <row r="847" spans="1:11" ht="42" customHeight="1">
      <c r="A847" s="4" t="s">
        <v>2207</v>
      </c>
      <c r="B847" s="5" t="s">
        <v>2208</v>
      </c>
      <c r="C847" s="5" t="s">
        <v>198</v>
      </c>
      <c r="D847" s="5" t="s">
        <v>66</v>
      </c>
      <c r="E847" s="5" t="s">
        <v>542</v>
      </c>
      <c r="F847" s="9">
        <v>54</v>
      </c>
      <c r="G847" s="9">
        <v>602</v>
      </c>
      <c r="H847" s="5" t="s">
        <v>20</v>
      </c>
      <c r="I847" s="5" t="s">
        <v>2209</v>
      </c>
      <c r="J847" s="12" t="str">
        <f>HYPERLINK("https://www.boe.es/gazeta/dias/1804/07/06/pdfs/GMD-1804-54.pdf#page=8","Abrir facsímil")</f>
        <v>Abrir facsímil</v>
      </c>
      <c r="K847" s="15" t="s">
        <v>22</v>
      </c>
    </row>
    <row r="848" spans="1:11" ht="42" customHeight="1">
      <c r="A848" s="4" t="s">
        <v>2210</v>
      </c>
      <c r="B848" s="5" t="s">
        <v>2210</v>
      </c>
      <c r="C848" s="5" t="s">
        <v>198</v>
      </c>
      <c r="D848" s="5" t="s">
        <v>66</v>
      </c>
      <c r="E848" s="5" t="s">
        <v>678</v>
      </c>
      <c r="F848" s="9">
        <v>104</v>
      </c>
      <c r="G848" s="9">
        <v>1154</v>
      </c>
      <c r="H848" s="5" t="s">
        <v>20</v>
      </c>
      <c r="I848" s="5" t="s">
        <v>2211</v>
      </c>
      <c r="J848" s="12" t="str">
        <f>HYPERLINK("https://www.boe.es/gazeta/dias/1804/12/28/pdfs/GMD-1804-104.pdf#page=2","Abrir facsímil")</f>
        <v>Abrir facsímil</v>
      </c>
      <c r="K848" s="15" t="s">
        <v>22</v>
      </c>
    </row>
    <row r="849" spans="1:11" ht="42" customHeight="1">
      <c r="A849" s="4" t="s">
        <v>2212</v>
      </c>
      <c r="B849" s="5" t="s">
        <v>2212</v>
      </c>
      <c r="C849" s="5" t="s">
        <v>17</v>
      </c>
      <c r="D849" s="5" t="s">
        <v>18</v>
      </c>
      <c r="E849" s="5" t="s">
        <v>490</v>
      </c>
      <c r="F849" s="9">
        <v>100</v>
      </c>
      <c r="G849" s="9">
        <v>1111</v>
      </c>
      <c r="H849" s="5" t="s">
        <v>20</v>
      </c>
      <c r="I849" s="5" t="s">
        <v>2213</v>
      </c>
      <c r="J849" s="12" t="str">
        <f>HYPERLINK("https://www.boe.es/gazeta/dias/1804/12/14/pdfs/GMD-1804-100.pdf#page=3","Abrir facsímil")</f>
        <v>Abrir facsímil</v>
      </c>
      <c r="K849" s="15" t="s">
        <v>22</v>
      </c>
    </row>
    <row r="850" spans="1:11" ht="42" customHeight="1">
      <c r="A850" s="4" t="s">
        <v>2212</v>
      </c>
      <c r="B850" s="5" t="s">
        <v>2212</v>
      </c>
      <c r="C850" s="5" t="s">
        <v>17</v>
      </c>
      <c r="D850" s="5" t="s">
        <v>18</v>
      </c>
      <c r="E850" s="5" t="s">
        <v>515</v>
      </c>
      <c r="F850" s="9">
        <v>102</v>
      </c>
      <c r="G850" s="9">
        <v>1134</v>
      </c>
      <c r="H850" s="5" t="s">
        <v>20</v>
      </c>
      <c r="I850" s="5" t="s">
        <v>2214</v>
      </c>
      <c r="J850" s="12" t="str">
        <f>HYPERLINK("https://www.boe.es/gazeta/dias/1804/12/21/pdfs/GMD-1804-102.pdf#page=2","Abrir facsímil")</f>
        <v>Abrir facsímil</v>
      </c>
      <c r="K850" s="15" t="s">
        <v>22</v>
      </c>
    </row>
    <row r="851" spans="1:11" ht="42" customHeight="1">
      <c r="A851" s="4" t="s">
        <v>2212</v>
      </c>
      <c r="B851" s="5" t="s">
        <v>2212</v>
      </c>
      <c r="C851" s="5" t="s">
        <v>17</v>
      </c>
      <c r="D851" s="5" t="s">
        <v>18</v>
      </c>
      <c r="E851" s="5" t="s">
        <v>515</v>
      </c>
      <c r="F851" s="9">
        <v>102</v>
      </c>
      <c r="G851" s="9">
        <v>1135</v>
      </c>
      <c r="H851" s="5" t="s">
        <v>20</v>
      </c>
      <c r="I851" s="5" t="s">
        <v>2215</v>
      </c>
      <c r="J851" s="12" t="str">
        <f>HYPERLINK("https://www.boe.es/gazeta/dias/1804/12/21/pdfs/GMD-1804-102.pdf#page=3","Abrir facsímil")</f>
        <v>Abrir facsímil</v>
      </c>
      <c r="K851" s="15" t="s">
        <v>22</v>
      </c>
    </row>
    <row r="852" spans="1:11" ht="42" customHeight="1">
      <c r="A852" s="4" t="s">
        <v>2216</v>
      </c>
      <c r="B852" s="5" t="s">
        <v>2216</v>
      </c>
      <c r="C852" s="5" t="s">
        <v>198</v>
      </c>
      <c r="D852" s="5" t="s">
        <v>66</v>
      </c>
      <c r="E852" s="5" t="s">
        <v>678</v>
      </c>
      <c r="F852" s="9">
        <v>104</v>
      </c>
      <c r="G852" s="9">
        <v>1161</v>
      </c>
      <c r="H852" s="5" t="s">
        <v>20</v>
      </c>
      <c r="I852" s="5" t="s">
        <v>2217</v>
      </c>
      <c r="J852" s="12" t="str">
        <f>HYPERLINK("https://www.boe.es/gazeta/dias/1804/12/28/pdfs/GMD-1804-104.pdf#page=9","Abrir facsímil")</f>
        <v>Abrir facsímil</v>
      </c>
      <c r="K852" s="15" t="s">
        <v>22</v>
      </c>
    </row>
    <row r="853" spans="1:11" ht="42" customHeight="1">
      <c r="A853" s="4" t="s">
        <v>2218</v>
      </c>
      <c r="B853" s="5" t="s">
        <v>2218</v>
      </c>
      <c r="C853" s="5" t="s">
        <v>17</v>
      </c>
      <c r="D853" s="5" t="s">
        <v>18</v>
      </c>
      <c r="E853" s="5" t="s">
        <v>490</v>
      </c>
      <c r="F853" s="9">
        <v>100</v>
      </c>
      <c r="G853" s="9">
        <v>1111</v>
      </c>
      <c r="H853" s="5" t="s">
        <v>20</v>
      </c>
      <c r="I853" s="5" t="s">
        <v>2219</v>
      </c>
      <c r="J853" s="12" t="str">
        <f>HYPERLINK("https://www.boe.es/gazeta/dias/1804/12/14/pdfs/GMD-1804-100.pdf#page=3","Abrir facsímil")</f>
        <v>Abrir facsímil</v>
      </c>
      <c r="K853" s="15" t="s">
        <v>22</v>
      </c>
    </row>
    <row r="854" spans="1:11" ht="42" customHeight="1">
      <c r="A854" s="4" t="s">
        <v>2218</v>
      </c>
      <c r="B854" s="5" t="s">
        <v>2218</v>
      </c>
      <c r="C854" s="5" t="s">
        <v>17</v>
      </c>
      <c r="D854" s="5" t="s">
        <v>18</v>
      </c>
      <c r="E854" s="5" t="s">
        <v>515</v>
      </c>
      <c r="F854" s="9">
        <v>102</v>
      </c>
      <c r="G854" s="9">
        <v>1134</v>
      </c>
      <c r="H854" s="5" t="s">
        <v>20</v>
      </c>
      <c r="I854" s="5" t="s">
        <v>2220</v>
      </c>
      <c r="J854" s="12" t="str">
        <f>HYPERLINK("https://www.boe.es/gazeta/dias/1804/12/21/pdfs/GMD-1804-102.pdf#page=2","Abrir facsímil")</f>
        <v>Abrir facsímil</v>
      </c>
      <c r="K854" s="15" t="s">
        <v>22</v>
      </c>
    </row>
    <row r="855" spans="1:11" ht="42" customHeight="1">
      <c r="A855" s="4" t="s">
        <v>2221</v>
      </c>
      <c r="B855" s="5" t="s">
        <v>2221</v>
      </c>
      <c r="C855" s="5" t="s">
        <v>198</v>
      </c>
      <c r="D855" s="5" t="s">
        <v>66</v>
      </c>
      <c r="E855" s="5" t="s">
        <v>490</v>
      </c>
      <c r="F855" s="9">
        <v>100</v>
      </c>
      <c r="G855" s="9">
        <v>1111</v>
      </c>
      <c r="H855" s="5" t="s">
        <v>20</v>
      </c>
      <c r="I855" s="5" t="s">
        <v>2222</v>
      </c>
      <c r="J855" s="12" t="str">
        <f>HYPERLINK("https://www.boe.es/gazeta/dias/1804/12/14/pdfs/GMD-1804-100.pdf#page=3","Abrir facsímil")</f>
        <v>Abrir facsímil</v>
      </c>
      <c r="K855" s="15" t="s">
        <v>22</v>
      </c>
    </row>
    <row r="856" spans="1:11" ht="42" customHeight="1">
      <c r="A856" s="4" t="s">
        <v>2223</v>
      </c>
      <c r="B856" s="5" t="s">
        <v>2223</v>
      </c>
      <c r="C856" s="5" t="s">
        <v>17</v>
      </c>
      <c r="D856" s="5" t="s">
        <v>18</v>
      </c>
      <c r="E856" s="5" t="s">
        <v>547</v>
      </c>
      <c r="F856" s="9">
        <v>68</v>
      </c>
      <c r="G856" s="9">
        <v>761</v>
      </c>
      <c r="H856" s="5" t="s">
        <v>20</v>
      </c>
      <c r="I856" s="5" t="s">
        <v>2224</v>
      </c>
      <c r="J856" s="12" t="str">
        <f>HYPERLINK("https://www.boe.es/gazeta/dias/1804/08/24/pdfs/GMD-1804-68.pdf#page=7","Abrir facsímil")</f>
        <v>Abrir facsímil</v>
      </c>
      <c r="K856" s="15" t="s">
        <v>22</v>
      </c>
    </row>
    <row r="857" spans="1:11" ht="42" customHeight="1">
      <c r="A857" s="4" t="s">
        <v>2225</v>
      </c>
      <c r="B857" s="5" t="s">
        <v>2225</v>
      </c>
      <c r="C857" s="5" t="s">
        <v>57</v>
      </c>
      <c r="D857" s="5" t="s">
        <v>58</v>
      </c>
      <c r="E857" s="5" t="s">
        <v>678</v>
      </c>
      <c r="F857" s="9">
        <v>104</v>
      </c>
      <c r="G857" s="9">
        <v>1153</v>
      </c>
      <c r="H857" s="5" t="s">
        <v>20</v>
      </c>
      <c r="I857" s="5" t="s">
        <v>2226</v>
      </c>
      <c r="J857" s="12" t="str">
        <f>HYPERLINK("https://www.boe.es/gazeta/dias/1804/12/28/pdfs/GMD-1804-104.pdf#page=1","Abrir facsímil")</f>
        <v>Abrir facsímil</v>
      </c>
      <c r="K857" s="15" t="s">
        <v>22</v>
      </c>
    </row>
    <row r="858" spans="1:11" ht="42" customHeight="1">
      <c r="A858" s="4" t="s">
        <v>2225</v>
      </c>
      <c r="B858" s="5" t="s">
        <v>2225</v>
      </c>
      <c r="C858" s="5" t="s">
        <v>57</v>
      </c>
      <c r="D858" s="5" t="s">
        <v>58</v>
      </c>
      <c r="E858" s="5" t="s">
        <v>678</v>
      </c>
      <c r="F858" s="9">
        <v>104</v>
      </c>
      <c r="G858" s="9">
        <v>1154</v>
      </c>
      <c r="H858" s="5" t="s">
        <v>20</v>
      </c>
      <c r="I858" s="5" t="s">
        <v>2227</v>
      </c>
      <c r="J858" s="12" t="str">
        <f>HYPERLINK("https://www.boe.es/gazeta/dias/1804/12/28/pdfs/GMD-1804-104.pdf#page=2","Abrir facsímil")</f>
        <v>Abrir facsímil</v>
      </c>
      <c r="K858" s="15" t="s">
        <v>22</v>
      </c>
    </row>
    <row r="859" spans="1:11" ht="42" customHeight="1">
      <c r="A859" s="4" t="s">
        <v>2228</v>
      </c>
      <c r="B859" s="5" t="s">
        <v>2228</v>
      </c>
      <c r="C859" s="5" t="s">
        <v>57</v>
      </c>
      <c r="D859" s="5" t="s">
        <v>58</v>
      </c>
      <c r="E859" s="5" t="s">
        <v>427</v>
      </c>
      <c r="F859" s="9">
        <v>80</v>
      </c>
      <c r="G859" s="9">
        <v>883</v>
      </c>
      <c r="H859" s="5" t="s">
        <v>20</v>
      </c>
      <c r="I859" s="5" t="s">
        <v>2229</v>
      </c>
      <c r="J859" s="12" t="str">
        <f>HYPERLINK("https://www.boe.es/gazeta/dias/1804/10/05/pdfs/GMD-1804-80.pdf#page=1","Abrir facsímil")</f>
        <v>Abrir facsímil</v>
      </c>
      <c r="K859" s="15" t="s">
        <v>22</v>
      </c>
    </row>
    <row r="860" spans="1:11" ht="42" customHeight="1">
      <c r="A860" s="4" t="s">
        <v>2230</v>
      </c>
      <c r="B860" s="5" t="s">
        <v>2231</v>
      </c>
      <c r="C860" s="5" t="s">
        <v>27</v>
      </c>
      <c r="D860" s="5" t="s">
        <v>28</v>
      </c>
      <c r="E860" s="5" t="s">
        <v>172</v>
      </c>
      <c r="F860" s="9">
        <v>38</v>
      </c>
      <c r="G860" s="9">
        <v>421</v>
      </c>
      <c r="H860" s="5" t="s">
        <v>20</v>
      </c>
      <c r="I860" s="5" t="s">
        <v>2232</v>
      </c>
      <c r="J860" s="12" t="str">
        <f>HYPERLINK("https://www.boe.es/gazeta/dias/1804/05/11/pdfs/GMD-1804-38.pdf#page=7","Abrir facsímil")</f>
        <v>Abrir facsímil</v>
      </c>
      <c r="K860" s="15" t="s">
        <v>22</v>
      </c>
    </row>
    <row r="861" spans="1:11" ht="42" customHeight="1">
      <c r="A861" s="4" t="s">
        <v>2233</v>
      </c>
      <c r="B861" s="5" t="s">
        <v>2234</v>
      </c>
      <c r="C861" s="5" t="s">
        <v>17</v>
      </c>
      <c r="D861" s="5" t="s">
        <v>18</v>
      </c>
      <c r="E861" s="5" t="s">
        <v>47</v>
      </c>
      <c r="F861" s="9">
        <v>78</v>
      </c>
      <c r="G861" s="9">
        <v>867</v>
      </c>
      <c r="H861" s="5" t="s">
        <v>20</v>
      </c>
      <c r="I861" s="5" t="s">
        <v>2235</v>
      </c>
      <c r="J861" s="12" t="str">
        <f>HYPERLINK("https://www.boe.es/gazeta/dias/1804/09/28/pdfs/GMD-1804-78.pdf#page=5","Abrir facsímil")</f>
        <v>Abrir facsímil</v>
      </c>
      <c r="K861" s="15" t="s">
        <v>22</v>
      </c>
    </row>
    <row r="862" spans="1:11" ht="42" customHeight="1">
      <c r="A862" s="4" t="s">
        <v>2236</v>
      </c>
      <c r="B862" s="5" t="s">
        <v>2237</v>
      </c>
      <c r="C862" s="5" t="s">
        <v>57</v>
      </c>
      <c r="D862" s="5" t="s">
        <v>58</v>
      </c>
      <c r="E862" s="5" t="s">
        <v>736</v>
      </c>
      <c r="F862" s="9">
        <v>83</v>
      </c>
      <c r="G862" s="9">
        <v>917</v>
      </c>
      <c r="H862" s="5" t="s">
        <v>20</v>
      </c>
      <c r="I862" s="5" t="s">
        <v>2238</v>
      </c>
      <c r="J862" s="12" t="str">
        <f>HYPERLINK("https://www.boe.es/gazeta/dias/1804/10/16/pdfs/GMD-1804-83.pdf#page=7","Abrir facsímil")</f>
        <v>Abrir facsímil</v>
      </c>
      <c r="K862" s="15" t="s">
        <v>22</v>
      </c>
    </row>
    <row r="863" spans="1:11" ht="42" customHeight="1">
      <c r="A863" s="4" t="s">
        <v>2239</v>
      </c>
      <c r="B863" s="5" t="s">
        <v>2240</v>
      </c>
      <c r="C863" s="5" t="s">
        <v>65</v>
      </c>
      <c r="D863" s="5" t="s">
        <v>66</v>
      </c>
      <c r="E863" s="5" t="s">
        <v>666</v>
      </c>
      <c r="F863" s="9">
        <v>57</v>
      </c>
      <c r="G863" s="9">
        <v>632</v>
      </c>
      <c r="H863" s="5" t="s">
        <v>20</v>
      </c>
      <c r="I863" s="5" t="s">
        <v>2241</v>
      </c>
      <c r="J863" s="12" t="str">
        <f>HYPERLINK("https://www.boe.es/gazeta/dias/1804/07/17/pdfs/GMD-1804-57.pdf#page=10","Abrir facsímil")</f>
        <v>Abrir facsímil</v>
      </c>
      <c r="K863" s="15" t="s">
        <v>22</v>
      </c>
    </row>
    <row r="864" spans="1:11" ht="42" customHeight="1">
      <c r="A864" s="4" t="s">
        <v>2242</v>
      </c>
      <c r="B864" s="5" t="s">
        <v>2242</v>
      </c>
      <c r="C864" s="5" t="s">
        <v>85</v>
      </c>
      <c r="D864" s="5" t="s">
        <v>86</v>
      </c>
      <c r="E864" s="5" t="s">
        <v>302</v>
      </c>
      <c r="F864" s="9">
        <v>3</v>
      </c>
      <c r="G864" s="9">
        <v>26</v>
      </c>
      <c r="H864" s="5" t="s">
        <v>20</v>
      </c>
      <c r="I864" s="5" t="s">
        <v>2243</v>
      </c>
      <c r="J864" s="12" t="str">
        <f>HYPERLINK("https://www.boe.es/gazeta/dias/1804/01/10/pdfs/GMD-1804-3.pdf#page=6","Abrir facsímil")</f>
        <v>Abrir facsímil</v>
      </c>
      <c r="K864" s="15" t="s">
        <v>22</v>
      </c>
    </row>
    <row r="865" spans="1:11" ht="42" customHeight="1">
      <c r="A865" s="4" t="s">
        <v>2244</v>
      </c>
      <c r="B865" s="5" t="s">
        <v>2245</v>
      </c>
      <c r="C865" s="5" t="s">
        <v>57</v>
      </c>
      <c r="D865" s="5" t="s">
        <v>58</v>
      </c>
      <c r="E865" s="5" t="s">
        <v>538</v>
      </c>
      <c r="F865" s="9">
        <v>27</v>
      </c>
      <c r="G865" s="9">
        <v>295</v>
      </c>
      <c r="H865" s="5" t="s">
        <v>20</v>
      </c>
      <c r="I865" s="5" t="s">
        <v>2246</v>
      </c>
      <c r="J865" s="12" t="str">
        <f>HYPERLINK("https://www.boe.es/gazeta/dias/1804/04/03/pdfs/GMD-1804-27.pdf#page=1","Abrir facsímil")</f>
        <v>Abrir facsímil</v>
      </c>
      <c r="K865" s="15" t="s">
        <v>22</v>
      </c>
    </row>
    <row r="866" spans="1:11" ht="42" customHeight="1">
      <c r="A866" s="4" t="s">
        <v>2247</v>
      </c>
      <c r="B866" s="5" t="s">
        <v>2248</v>
      </c>
      <c r="C866" s="5" t="s">
        <v>27</v>
      </c>
      <c r="D866" s="5" t="s">
        <v>28</v>
      </c>
      <c r="E866" s="5" t="s">
        <v>91</v>
      </c>
      <c r="F866" s="9">
        <v>72</v>
      </c>
      <c r="G866" s="9">
        <v>806</v>
      </c>
      <c r="H866" s="5" t="s">
        <v>20</v>
      </c>
      <c r="I866" s="5" t="s">
        <v>2249</v>
      </c>
      <c r="J866" s="12" t="str">
        <f>HYPERLINK("https://www.boe.es/gazeta/dias/1804/09/07/pdfs/GMD-1804-72.pdf#page=8","Abrir facsímil")</f>
        <v>Abrir facsímil</v>
      </c>
      <c r="K866" s="15" t="s">
        <v>22</v>
      </c>
    </row>
    <row r="867" spans="1:11" ht="42" customHeight="1">
      <c r="A867" s="4" t="s">
        <v>2250</v>
      </c>
      <c r="B867" s="5" t="s">
        <v>2251</v>
      </c>
      <c r="C867" s="5" t="s">
        <v>27</v>
      </c>
      <c r="D867" s="5" t="s">
        <v>28</v>
      </c>
      <c r="E867" s="5" t="s">
        <v>670</v>
      </c>
      <c r="F867" s="9">
        <v>41</v>
      </c>
      <c r="G867" s="9">
        <v>453</v>
      </c>
      <c r="H867" s="5" t="s">
        <v>20</v>
      </c>
      <c r="I867" s="5" t="s">
        <v>2252</v>
      </c>
      <c r="J867" s="12" t="str">
        <f>HYPERLINK("https://www.boe.es/gazeta/dias/1804/05/22/pdfs/GMD-1804-41.pdf#page=3","Abrir facsímil")</f>
        <v>Abrir facsímil</v>
      </c>
      <c r="K867" s="15" t="s">
        <v>22</v>
      </c>
    </row>
    <row r="868" spans="1:11" ht="42" customHeight="1">
      <c r="A868" s="4" t="s">
        <v>2253</v>
      </c>
      <c r="B868" s="5" t="s">
        <v>2254</v>
      </c>
      <c r="C868" s="5" t="s">
        <v>57</v>
      </c>
      <c r="D868" s="5" t="s">
        <v>58</v>
      </c>
      <c r="E868" s="5" t="s">
        <v>427</v>
      </c>
      <c r="F868" s="9">
        <v>80</v>
      </c>
      <c r="G868" s="9">
        <v>884</v>
      </c>
      <c r="H868" s="5" t="s">
        <v>20</v>
      </c>
      <c r="I868" s="5" t="s">
        <v>2255</v>
      </c>
      <c r="J868" s="12" t="str">
        <f>HYPERLINK("https://www.boe.es/gazeta/dias/1804/10/05/pdfs/GMD-1804-80.pdf#page=2","Abrir facsímil")</f>
        <v>Abrir facsímil</v>
      </c>
      <c r="K868" s="15" t="s">
        <v>22</v>
      </c>
    </row>
    <row r="869" spans="1:11" ht="42" customHeight="1">
      <c r="A869" s="4" t="s">
        <v>2256</v>
      </c>
      <c r="B869" s="5" t="s">
        <v>2257</v>
      </c>
      <c r="C869" s="5" t="s">
        <v>57</v>
      </c>
      <c r="D869" s="5" t="s">
        <v>58</v>
      </c>
      <c r="E869" s="5" t="s">
        <v>47</v>
      </c>
      <c r="F869" s="9">
        <v>78</v>
      </c>
      <c r="G869" s="9">
        <v>864</v>
      </c>
      <c r="H869" s="5" t="s">
        <v>20</v>
      </c>
      <c r="I869" s="5" t="s">
        <v>2258</v>
      </c>
      <c r="J869" s="12" t="str">
        <f>HYPERLINK("https://www.boe.es/gazeta/dias/1804/09/28/pdfs/GMD-1804-78.pdf#page=2","Abrir facsímil")</f>
        <v>Abrir facsímil</v>
      </c>
      <c r="K869" s="15" t="s">
        <v>22</v>
      </c>
    </row>
    <row r="870" spans="1:11" ht="42" customHeight="1">
      <c r="A870" s="4" t="s">
        <v>2259</v>
      </c>
      <c r="B870" s="5" t="s">
        <v>2260</v>
      </c>
      <c r="C870" s="5" t="s">
        <v>27</v>
      </c>
      <c r="D870" s="5" t="s">
        <v>28</v>
      </c>
      <c r="E870" s="5" t="s">
        <v>317</v>
      </c>
      <c r="F870" s="9">
        <v>56</v>
      </c>
      <c r="G870" s="9">
        <v>616</v>
      </c>
      <c r="H870" s="5" t="s">
        <v>20</v>
      </c>
      <c r="I870" s="5" t="s">
        <v>2261</v>
      </c>
      <c r="J870" s="12" t="str">
        <f>HYPERLINK("https://www.boe.es/gazeta/dias/1804/07/13/pdfs/GMD-1804-56.pdf#page=2","Abrir facsímil")</f>
        <v>Abrir facsímil</v>
      </c>
      <c r="K870" s="15" t="s">
        <v>22</v>
      </c>
    </row>
    <row r="871" spans="1:11" ht="42" customHeight="1">
      <c r="A871" s="4" t="s">
        <v>2262</v>
      </c>
      <c r="B871" s="5" t="s">
        <v>2263</v>
      </c>
      <c r="C871" s="5" t="s">
        <v>57</v>
      </c>
      <c r="D871" s="5" t="s">
        <v>58</v>
      </c>
      <c r="E871" s="5" t="s">
        <v>251</v>
      </c>
      <c r="F871" s="9">
        <v>79</v>
      </c>
      <c r="G871" s="9">
        <v>873</v>
      </c>
      <c r="H871" s="5" t="s">
        <v>20</v>
      </c>
      <c r="I871" s="5" t="s">
        <v>2264</v>
      </c>
      <c r="J871" s="12" t="str">
        <f>HYPERLINK("https://www.boe.es/gazeta/dias/1804/10/02/pdfs/GMD-1804-79.pdf#page=3","Abrir facsímil")</f>
        <v>Abrir facsímil</v>
      </c>
      <c r="K871" s="15" t="s">
        <v>22</v>
      </c>
    </row>
    <row r="872" spans="1:11" ht="42" customHeight="1">
      <c r="A872" s="4" t="s">
        <v>2265</v>
      </c>
      <c r="B872" s="5" t="s">
        <v>2265</v>
      </c>
      <c r="C872" s="5" t="s">
        <v>198</v>
      </c>
      <c r="D872" s="5" t="s">
        <v>66</v>
      </c>
      <c r="E872" s="5" t="s">
        <v>800</v>
      </c>
      <c r="F872" s="9">
        <v>45</v>
      </c>
      <c r="G872" s="9">
        <v>497</v>
      </c>
      <c r="H872" s="5" t="s">
        <v>20</v>
      </c>
      <c r="I872" s="5" t="s">
        <v>2266</v>
      </c>
      <c r="J872" s="12" t="str">
        <f>HYPERLINK("https://www.boe.es/gazeta/dias/1804/06/05/pdfs/GMD-1804-45.pdf#page=7","Abrir facsímil")</f>
        <v>Abrir facsímil</v>
      </c>
      <c r="K872" s="15" t="s">
        <v>22</v>
      </c>
    </row>
    <row r="873" spans="1:11" ht="42" customHeight="1">
      <c r="A873" s="4" t="s">
        <v>2267</v>
      </c>
      <c r="B873" s="5" t="s">
        <v>2268</v>
      </c>
      <c r="C873" s="5" t="s">
        <v>57</v>
      </c>
      <c r="D873" s="5" t="s">
        <v>58</v>
      </c>
      <c r="E873" s="5" t="s">
        <v>576</v>
      </c>
      <c r="F873" s="9">
        <v>85</v>
      </c>
      <c r="G873" s="9">
        <v>935</v>
      </c>
      <c r="H873" s="5" t="s">
        <v>20</v>
      </c>
      <c r="I873" s="5" t="s">
        <v>2269</v>
      </c>
      <c r="J873" s="12" t="str">
        <f>HYPERLINK("https://www.boe.es/gazeta/dias/1804/10/23/pdfs/GMD-1804-85.pdf#page=5","Abrir facsímil")</f>
        <v>Abrir facsímil</v>
      </c>
      <c r="K873" s="15" t="s">
        <v>22</v>
      </c>
    </row>
    <row r="874" spans="1:11" ht="42" customHeight="1">
      <c r="A874" s="4" t="s">
        <v>2270</v>
      </c>
      <c r="B874" s="5" t="s">
        <v>2271</v>
      </c>
      <c r="C874" s="5" t="s">
        <v>27</v>
      </c>
      <c r="D874" s="5" t="s">
        <v>28</v>
      </c>
      <c r="E874" s="5" t="s">
        <v>67</v>
      </c>
      <c r="F874" s="9">
        <v>59</v>
      </c>
      <c r="G874" s="9">
        <v>654</v>
      </c>
      <c r="H874" s="5" t="s">
        <v>20</v>
      </c>
      <c r="I874" s="5" t="s">
        <v>2272</v>
      </c>
      <c r="J874" s="12" t="str">
        <f>HYPERLINK("https://www.boe.es/gazeta/dias/1804/07/24/pdfs/GMD-1804-59.pdf#page=8","Abrir facsímil")</f>
        <v>Abrir facsímil</v>
      </c>
      <c r="K874" s="15" t="s">
        <v>22</v>
      </c>
    </row>
    <row r="875" spans="1:11" ht="42" customHeight="1">
      <c r="A875" s="4" t="s">
        <v>2273</v>
      </c>
      <c r="B875" s="5" t="s">
        <v>2274</v>
      </c>
      <c r="C875" s="5" t="s">
        <v>57</v>
      </c>
      <c r="D875" s="5" t="s">
        <v>58</v>
      </c>
      <c r="E875" s="5" t="s">
        <v>427</v>
      </c>
      <c r="F875" s="9">
        <v>80</v>
      </c>
      <c r="G875" s="9">
        <v>884</v>
      </c>
      <c r="H875" s="5" t="s">
        <v>20</v>
      </c>
      <c r="I875" s="5" t="s">
        <v>2275</v>
      </c>
      <c r="J875" s="12" t="str">
        <f>HYPERLINK("https://www.boe.es/gazeta/dias/1804/10/05/pdfs/GMD-1804-80.pdf#page=2","Abrir facsímil")</f>
        <v>Abrir facsímil</v>
      </c>
      <c r="K875" s="15" t="s">
        <v>22</v>
      </c>
    </row>
    <row r="876" spans="1:11" ht="42" customHeight="1">
      <c r="A876" s="4" t="s">
        <v>2276</v>
      </c>
      <c r="B876" s="5" t="s">
        <v>2277</v>
      </c>
      <c r="C876" s="5" t="s">
        <v>27</v>
      </c>
      <c r="D876" s="5" t="s">
        <v>28</v>
      </c>
      <c r="E876" s="5" t="s">
        <v>222</v>
      </c>
      <c r="F876" s="9">
        <v>4</v>
      </c>
      <c r="G876" s="9">
        <v>30</v>
      </c>
      <c r="H876" s="5" t="s">
        <v>20</v>
      </c>
      <c r="I876" s="5" t="s">
        <v>2278</v>
      </c>
      <c r="J876" s="12" t="str">
        <f>HYPERLINK("https://www.boe.es/gazeta/dias/1804/01/13/pdfs/GMD-1804-4.pdf#page=2","Abrir facsímil")</f>
        <v>Abrir facsímil</v>
      </c>
      <c r="K876" s="15" t="s">
        <v>22</v>
      </c>
    </row>
    <row r="877" spans="1:11" ht="42" customHeight="1">
      <c r="A877" s="4" t="s">
        <v>2276</v>
      </c>
      <c r="B877" s="5" t="s">
        <v>2277</v>
      </c>
      <c r="C877" s="5" t="s">
        <v>57</v>
      </c>
      <c r="D877" s="5" t="s">
        <v>58</v>
      </c>
      <c r="E877" s="5" t="s">
        <v>77</v>
      </c>
      <c r="F877" s="9">
        <v>32</v>
      </c>
      <c r="G877" s="9">
        <v>347</v>
      </c>
      <c r="H877" s="5" t="s">
        <v>20</v>
      </c>
      <c r="I877" s="5" t="s">
        <v>2279</v>
      </c>
      <c r="J877" s="12" t="str">
        <f>HYPERLINK("https://www.boe.es/gazeta/dias/1804/04/20/pdfs/GMD-1804-32.pdf#page=1","Abrir facsímil")</f>
        <v>Abrir facsímil</v>
      </c>
      <c r="K877" s="15" t="s">
        <v>22</v>
      </c>
    </row>
    <row r="878" spans="1:11" ht="42" customHeight="1">
      <c r="A878" s="4" t="s">
        <v>2276</v>
      </c>
      <c r="B878" s="5" t="s">
        <v>2277</v>
      </c>
      <c r="C878" s="5" t="s">
        <v>57</v>
      </c>
      <c r="D878" s="5" t="s">
        <v>58</v>
      </c>
      <c r="E878" s="5" t="s">
        <v>800</v>
      </c>
      <c r="F878" s="9">
        <v>45</v>
      </c>
      <c r="G878" s="9">
        <v>493</v>
      </c>
      <c r="H878" s="5" t="s">
        <v>20</v>
      </c>
      <c r="I878" s="5" t="s">
        <v>2280</v>
      </c>
      <c r="J878" s="12" t="str">
        <f>HYPERLINK("https://www.boe.es/gazeta/dias/1804/06/05/pdfs/GMD-1804-45.pdf#page=3","Abrir facsímil")</f>
        <v>Abrir facsímil</v>
      </c>
      <c r="K878" s="15" t="s">
        <v>22</v>
      </c>
    </row>
    <row r="879" spans="1:11" ht="42" customHeight="1">
      <c r="A879" s="4" t="s">
        <v>2276</v>
      </c>
      <c r="B879" s="5" t="s">
        <v>2277</v>
      </c>
      <c r="C879" s="5" t="s">
        <v>85</v>
      </c>
      <c r="D879" s="5" t="s">
        <v>86</v>
      </c>
      <c r="E879" s="5" t="s">
        <v>587</v>
      </c>
      <c r="F879" s="9">
        <v>62</v>
      </c>
      <c r="G879" s="9">
        <v>680</v>
      </c>
      <c r="H879" s="5" t="s">
        <v>20</v>
      </c>
      <c r="I879" s="5" t="s">
        <v>2281</v>
      </c>
      <c r="J879" s="12" t="str">
        <f>HYPERLINK("https://www.boe.es/gazeta/dias/1804/08/03/pdfs/GMD-1804-62.pdf#page=2","Abrir facsímil")</f>
        <v>Abrir facsímil</v>
      </c>
      <c r="K879" s="15" t="s">
        <v>22</v>
      </c>
    </row>
    <row r="880" spans="1:11" ht="42" customHeight="1">
      <c r="A880" s="4" t="s">
        <v>2276</v>
      </c>
      <c r="B880" s="5" t="s">
        <v>2277</v>
      </c>
      <c r="C880" s="5" t="s">
        <v>57</v>
      </c>
      <c r="D880" s="5" t="s">
        <v>58</v>
      </c>
      <c r="E880" s="5" t="s">
        <v>216</v>
      </c>
      <c r="F880" s="9">
        <v>67</v>
      </c>
      <c r="G880" s="9">
        <v>743</v>
      </c>
      <c r="H880" s="5" t="s">
        <v>20</v>
      </c>
      <c r="I880" s="5" t="s">
        <v>2282</v>
      </c>
      <c r="J880" s="12" t="str">
        <f>HYPERLINK("https://www.boe.es/gazeta/dias/1804/08/21/pdfs/GMD-1804-67.pdf#page=1","Abrir facsímil")</f>
        <v>Abrir facsímil</v>
      </c>
      <c r="K880" s="15" t="s">
        <v>22</v>
      </c>
    </row>
    <row r="881" spans="1:11" ht="42" customHeight="1">
      <c r="A881" s="4" t="s">
        <v>2276</v>
      </c>
      <c r="B881" s="5" t="s">
        <v>2277</v>
      </c>
      <c r="C881" s="5" t="s">
        <v>65</v>
      </c>
      <c r="D881" s="5" t="s">
        <v>66</v>
      </c>
      <c r="E881" s="5" t="s">
        <v>91</v>
      </c>
      <c r="F881" s="9">
        <v>72</v>
      </c>
      <c r="G881" s="9">
        <v>799</v>
      </c>
      <c r="H881" s="5" t="s">
        <v>20</v>
      </c>
      <c r="I881" s="5" t="s">
        <v>2283</v>
      </c>
      <c r="J881" s="12" t="str">
        <f>HYPERLINK("https://www.boe.es/gazeta/dias/1804/09/07/pdfs/GMD-1804-72.pdf#page=1","Abrir facsímil")</f>
        <v>Abrir facsímil</v>
      </c>
      <c r="K881" s="15" t="s">
        <v>22</v>
      </c>
    </row>
    <row r="882" spans="1:11" ht="42" customHeight="1">
      <c r="A882" s="4" t="s">
        <v>2284</v>
      </c>
      <c r="B882" s="5" t="s">
        <v>2284</v>
      </c>
      <c r="C882" s="5" t="s">
        <v>57</v>
      </c>
      <c r="D882" s="5" t="s">
        <v>58</v>
      </c>
      <c r="E882" s="5" t="s">
        <v>736</v>
      </c>
      <c r="F882" s="9">
        <v>83</v>
      </c>
      <c r="G882" s="9">
        <v>916</v>
      </c>
      <c r="H882" s="5" t="s">
        <v>20</v>
      </c>
      <c r="I882" s="5" t="s">
        <v>2285</v>
      </c>
      <c r="J882" s="12" t="str">
        <f>HYPERLINK("https://www.boe.es/gazeta/dias/1804/10/16/pdfs/GMD-1804-83.pdf#page=6","Abrir facsímil")</f>
        <v>Abrir facsímil</v>
      </c>
      <c r="K882" s="15" t="s">
        <v>22</v>
      </c>
    </row>
    <row r="883" spans="1:11" ht="42" customHeight="1">
      <c r="A883" s="4" t="s">
        <v>2286</v>
      </c>
      <c r="B883" s="5" t="s">
        <v>2286</v>
      </c>
      <c r="C883" s="5" t="s">
        <v>57</v>
      </c>
      <c r="D883" s="5" t="s">
        <v>58</v>
      </c>
      <c r="E883" s="5" t="s">
        <v>230</v>
      </c>
      <c r="F883" s="9">
        <v>26</v>
      </c>
      <c r="G883" s="9">
        <v>292</v>
      </c>
      <c r="H883" s="5" t="s">
        <v>20</v>
      </c>
      <c r="I883" s="5" t="s">
        <v>2287</v>
      </c>
      <c r="J883" s="12" t="str">
        <f>HYPERLINK("https://www.boe.es/gazeta/dias/1804/03/30/pdfs/GMD-1804-26.pdf#page=6","Abrir facsímil")</f>
        <v>Abrir facsímil</v>
      </c>
      <c r="K883" s="15" t="s">
        <v>22</v>
      </c>
    </row>
    <row r="884" spans="1:11" ht="42" customHeight="1">
      <c r="A884" s="4" t="s">
        <v>2286</v>
      </c>
      <c r="B884" s="5" t="s">
        <v>2286</v>
      </c>
      <c r="C884" s="5" t="s">
        <v>17</v>
      </c>
      <c r="D884" s="5" t="s">
        <v>18</v>
      </c>
      <c r="E884" s="5" t="s">
        <v>33</v>
      </c>
      <c r="F884" s="9">
        <v>48</v>
      </c>
      <c r="G884" s="9">
        <v>538</v>
      </c>
      <c r="H884" s="5" t="s">
        <v>20</v>
      </c>
      <c r="I884" s="5" t="s">
        <v>2288</v>
      </c>
      <c r="J884" s="12" t="str">
        <f>HYPERLINK("https://www.boe.es/gazeta/dias/1804/06/15/pdfs/GMD-1804-48.pdf#page=8","Abrir facsímil")</f>
        <v>Abrir facsímil</v>
      </c>
      <c r="K884" s="15" t="s">
        <v>22</v>
      </c>
    </row>
    <row r="885" spans="1:11" ht="42" customHeight="1">
      <c r="A885" s="4" t="s">
        <v>2289</v>
      </c>
      <c r="B885" s="5" t="s">
        <v>2289</v>
      </c>
      <c r="C885" s="5" t="s">
        <v>57</v>
      </c>
      <c r="D885" s="5" t="s">
        <v>58</v>
      </c>
      <c r="E885" s="5" t="s">
        <v>736</v>
      </c>
      <c r="F885" s="9">
        <v>83</v>
      </c>
      <c r="G885" s="9">
        <v>915</v>
      </c>
      <c r="H885" s="5" t="s">
        <v>20</v>
      </c>
      <c r="I885" s="5" t="s">
        <v>2290</v>
      </c>
      <c r="J885" s="12" t="str">
        <f>HYPERLINK("https://www.boe.es/gazeta/dias/1804/10/16/pdfs/GMD-1804-83.pdf#page=5","Abrir facsímil")</f>
        <v>Abrir facsímil</v>
      </c>
      <c r="K885" s="15" t="s">
        <v>22</v>
      </c>
    </row>
    <row r="886" spans="1:11" ht="42" customHeight="1">
      <c r="A886" s="4" t="s">
        <v>2291</v>
      </c>
      <c r="B886" s="5" t="s">
        <v>2291</v>
      </c>
      <c r="C886" s="5" t="s">
        <v>57</v>
      </c>
      <c r="D886" s="5" t="s">
        <v>58</v>
      </c>
      <c r="E886" s="5" t="s">
        <v>272</v>
      </c>
      <c r="F886" s="9">
        <v>30</v>
      </c>
      <c r="G886" s="9">
        <v>328</v>
      </c>
      <c r="H886" s="5" t="s">
        <v>20</v>
      </c>
      <c r="I886" s="5" t="s">
        <v>2292</v>
      </c>
      <c r="J886" s="12" t="str">
        <f>HYPERLINK("https://www.boe.es/gazeta/dias/1804/04/13/pdfs/GMD-1804-30.pdf#page=6","Abrir facsímil")</f>
        <v>Abrir facsímil</v>
      </c>
      <c r="K886" s="15" t="s">
        <v>22</v>
      </c>
    </row>
    <row r="887" spans="1:11" ht="42" customHeight="1">
      <c r="A887" s="4" t="s">
        <v>2291</v>
      </c>
      <c r="B887" s="5" t="s">
        <v>2291</v>
      </c>
      <c r="C887" s="5" t="s">
        <v>57</v>
      </c>
      <c r="D887" s="5" t="s">
        <v>58</v>
      </c>
      <c r="E887" s="5" t="s">
        <v>206</v>
      </c>
      <c r="F887" s="9">
        <v>44</v>
      </c>
      <c r="G887" s="9">
        <v>486</v>
      </c>
      <c r="H887" s="5" t="s">
        <v>20</v>
      </c>
      <c r="I887" s="5" t="s">
        <v>2293</v>
      </c>
      <c r="J887" s="12" t="str">
        <f>HYPERLINK("https://www.boe.es/gazeta/dias/1804/06/01/pdfs/GMD-1804-44.pdf#page=4","Abrir facsímil")</f>
        <v>Abrir facsímil</v>
      </c>
      <c r="K887" s="15" t="s">
        <v>22</v>
      </c>
    </row>
    <row r="888" spans="1:11" ht="42" customHeight="1">
      <c r="A888" s="4" t="s">
        <v>2291</v>
      </c>
      <c r="B888" s="5" t="s">
        <v>2291</v>
      </c>
      <c r="C888" s="5" t="s">
        <v>57</v>
      </c>
      <c r="D888" s="5" t="s">
        <v>58</v>
      </c>
      <c r="E888" s="5" t="s">
        <v>206</v>
      </c>
      <c r="F888" s="9">
        <v>44</v>
      </c>
      <c r="G888" s="9">
        <v>488</v>
      </c>
      <c r="H888" s="5" t="s">
        <v>20</v>
      </c>
      <c r="I888" s="5" t="s">
        <v>2294</v>
      </c>
      <c r="J888" s="12" t="str">
        <f>HYPERLINK("https://www.boe.es/gazeta/dias/1804/06/01/pdfs/GMD-1804-44.pdf#page=6","Abrir facsímil")</f>
        <v>Abrir facsímil</v>
      </c>
      <c r="K888" s="15" t="s">
        <v>22</v>
      </c>
    </row>
    <row r="889" spans="1:11" ht="42" customHeight="1">
      <c r="A889" s="4" t="s">
        <v>2295</v>
      </c>
      <c r="B889" s="5" t="s">
        <v>2295</v>
      </c>
      <c r="C889" s="5" t="s">
        <v>57</v>
      </c>
      <c r="D889" s="5" t="s">
        <v>58</v>
      </c>
      <c r="E889" s="5" t="s">
        <v>206</v>
      </c>
      <c r="F889" s="9">
        <v>44</v>
      </c>
      <c r="G889" s="9">
        <v>487</v>
      </c>
      <c r="H889" s="5" t="s">
        <v>20</v>
      </c>
      <c r="I889" s="5" t="s">
        <v>2296</v>
      </c>
      <c r="J889" s="12" t="str">
        <f>HYPERLINK("https://www.boe.es/gazeta/dias/1804/06/01/pdfs/GMD-1804-44.pdf#page=5","Abrir facsímil")</f>
        <v>Abrir facsímil</v>
      </c>
      <c r="K889" s="15" t="s">
        <v>22</v>
      </c>
    </row>
    <row r="890" spans="1:11" ht="42" customHeight="1">
      <c r="A890" s="4" t="s">
        <v>2297</v>
      </c>
      <c r="B890" s="5" t="s">
        <v>2297</v>
      </c>
      <c r="C890" s="5" t="s">
        <v>198</v>
      </c>
      <c r="D890" s="5" t="s">
        <v>66</v>
      </c>
      <c r="E890" s="5" t="s">
        <v>302</v>
      </c>
      <c r="F890" s="9">
        <v>3</v>
      </c>
      <c r="G890" s="9">
        <v>25</v>
      </c>
      <c r="H890" s="5" t="s">
        <v>20</v>
      </c>
      <c r="I890" s="5" t="s">
        <v>2298</v>
      </c>
      <c r="J890" s="12" t="str">
        <f>HYPERLINK("https://www.boe.es/gazeta/dias/1804/01/10/pdfs/GMD-1804-3.pdf#page=5","Abrir facsímil")</f>
        <v>Abrir facsímil</v>
      </c>
      <c r="K890" s="15" t="s">
        <v>22</v>
      </c>
    </row>
    <row r="891" spans="1:11" ht="42" customHeight="1">
      <c r="A891" s="4" t="s">
        <v>2299</v>
      </c>
      <c r="B891" s="5" t="s">
        <v>2299</v>
      </c>
      <c r="C891" s="5" t="s">
        <v>57</v>
      </c>
      <c r="D891" s="5" t="s">
        <v>58</v>
      </c>
      <c r="E891" s="5" t="s">
        <v>206</v>
      </c>
      <c r="F891" s="9">
        <v>44</v>
      </c>
      <c r="G891" s="9">
        <v>486</v>
      </c>
      <c r="H891" s="5" t="s">
        <v>20</v>
      </c>
      <c r="I891" s="5" t="s">
        <v>2300</v>
      </c>
      <c r="J891" s="12" t="str">
        <f>HYPERLINK("https://www.boe.es/gazeta/dias/1804/06/01/pdfs/GMD-1804-44.pdf#page=4","Abrir facsímil")</f>
        <v>Abrir facsímil</v>
      </c>
      <c r="K891" s="15" t="s">
        <v>22</v>
      </c>
    </row>
    <row r="892" spans="1:11" ht="42" customHeight="1">
      <c r="A892" s="4" t="s">
        <v>2299</v>
      </c>
      <c r="B892" s="5" t="s">
        <v>2299</v>
      </c>
      <c r="C892" s="5" t="s">
        <v>57</v>
      </c>
      <c r="D892" s="5" t="s">
        <v>58</v>
      </c>
      <c r="E892" s="5" t="s">
        <v>206</v>
      </c>
      <c r="F892" s="9">
        <v>44</v>
      </c>
      <c r="G892" s="9">
        <v>488</v>
      </c>
      <c r="H892" s="5" t="s">
        <v>20</v>
      </c>
      <c r="I892" s="5" t="s">
        <v>2301</v>
      </c>
      <c r="J892" s="12" t="str">
        <f>HYPERLINK("https://www.boe.es/gazeta/dias/1804/06/01/pdfs/GMD-1804-44.pdf#page=6","Abrir facsímil")</f>
        <v>Abrir facsímil</v>
      </c>
      <c r="K892" s="15" t="s">
        <v>22</v>
      </c>
    </row>
    <row r="893" spans="1:11" ht="42" customHeight="1">
      <c r="A893" s="4" t="s">
        <v>2302</v>
      </c>
      <c r="B893" s="5" t="s">
        <v>2302</v>
      </c>
      <c r="C893" s="5" t="s">
        <v>27</v>
      </c>
      <c r="D893" s="5" t="s">
        <v>28</v>
      </c>
      <c r="E893" s="5" t="s">
        <v>29</v>
      </c>
      <c r="F893" s="9">
        <v>88</v>
      </c>
      <c r="G893" s="9">
        <v>969</v>
      </c>
      <c r="H893" s="5" t="s">
        <v>20</v>
      </c>
      <c r="I893" s="5" t="s">
        <v>2303</v>
      </c>
      <c r="J893" s="12" t="str">
        <f>HYPERLINK("https://www.boe.es/gazeta/dias/1804/11/02/pdfs/GMD-1804-88.pdf#page=1","Abrir facsímil")</f>
        <v>Abrir facsímil</v>
      </c>
      <c r="K893" s="15" t="s">
        <v>22</v>
      </c>
    </row>
    <row r="894" spans="1:11" ht="42" customHeight="1">
      <c r="A894" s="4" t="s">
        <v>2304</v>
      </c>
      <c r="B894" s="5" t="s">
        <v>2305</v>
      </c>
      <c r="C894" s="5" t="s">
        <v>27</v>
      </c>
      <c r="D894" s="5" t="s">
        <v>28</v>
      </c>
      <c r="E894" s="5" t="s">
        <v>97</v>
      </c>
      <c r="F894" s="9">
        <v>50</v>
      </c>
      <c r="G894" s="9" t="s">
        <v>98</v>
      </c>
      <c r="H894" s="5" t="s">
        <v>20</v>
      </c>
      <c r="I894" s="5" t="s">
        <v>2306</v>
      </c>
      <c r="J894" s="12" t="str">
        <f>HYPERLINK("https://www.boe.es/gazeta/dias/1804/06/22/pdfs/GMD-C-1804-50.pdf#page=1","Abrir facsímil")</f>
        <v>Abrir facsímil</v>
      </c>
      <c r="K894" s="15" t="s">
        <v>22</v>
      </c>
    </row>
    <row r="895" spans="1:11" ht="42" customHeight="1">
      <c r="A895" s="4" t="s">
        <v>2307</v>
      </c>
      <c r="B895" s="5" t="s">
        <v>2308</v>
      </c>
      <c r="C895" s="5" t="s">
        <v>27</v>
      </c>
      <c r="D895" s="5" t="s">
        <v>28</v>
      </c>
      <c r="E895" s="5" t="s">
        <v>709</v>
      </c>
      <c r="F895" s="9">
        <v>82</v>
      </c>
      <c r="G895" s="9">
        <v>910</v>
      </c>
      <c r="H895" s="5" t="s">
        <v>20</v>
      </c>
      <c r="I895" s="5" t="s">
        <v>2309</v>
      </c>
      <c r="J895" s="12" t="str">
        <f>HYPERLINK("https://www.boe.es/gazeta/dias/1804/10/12/pdfs/GMD-1804-82.pdf#page=12","Abrir facsímil")</f>
        <v>Abrir facsímil</v>
      </c>
      <c r="K895" s="15" t="s">
        <v>22</v>
      </c>
    </row>
    <row r="896" spans="1:11" ht="42" customHeight="1">
      <c r="A896" s="4" t="s">
        <v>2310</v>
      </c>
      <c r="B896" s="5" t="s">
        <v>2311</v>
      </c>
      <c r="C896" s="5" t="s">
        <v>17</v>
      </c>
      <c r="D896" s="5" t="s">
        <v>18</v>
      </c>
      <c r="E896" s="5" t="s">
        <v>37</v>
      </c>
      <c r="F896" s="9">
        <v>29</v>
      </c>
      <c r="G896" s="9">
        <v>318</v>
      </c>
      <c r="H896" s="5" t="s">
        <v>20</v>
      </c>
      <c r="I896" s="5" t="s">
        <v>2312</v>
      </c>
      <c r="J896" s="12" t="str">
        <f>HYPERLINK("https://www.boe.es/gazeta/dias/1804/04/10/pdfs/GMD-1804-29.pdf#page=8","Abrir facsímil")</f>
        <v>Abrir facsímil</v>
      </c>
      <c r="K896" s="15" t="s">
        <v>22</v>
      </c>
    </row>
    <row r="897" spans="1:11" ht="42" customHeight="1">
      <c r="A897" s="4" t="s">
        <v>2313</v>
      </c>
      <c r="B897" s="5" t="s">
        <v>2314</v>
      </c>
      <c r="C897" s="5" t="s">
        <v>27</v>
      </c>
      <c r="D897" s="5" t="s">
        <v>28</v>
      </c>
      <c r="E897" s="5" t="s">
        <v>163</v>
      </c>
      <c r="F897" s="9">
        <v>70</v>
      </c>
      <c r="G897" s="9">
        <v>784</v>
      </c>
      <c r="H897" s="5" t="s">
        <v>20</v>
      </c>
      <c r="I897" s="5" t="s">
        <v>2315</v>
      </c>
      <c r="J897" s="12" t="str">
        <f>HYPERLINK("https://www.boe.es/gazeta/dias/1804/08/31/pdfs/GMD-1804-70.pdf#page=6","Abrir facsímil")</f>
        <v>Abrir facsímil</v>
      </c>
      <c r="K897" s="15" t="s">
        <v>22</v>
      </c>
    </row>
    <row r="898" spans="1:11" ht="42" customHeight="1">
      <c r="A898" s="4" t="s">
        <v>2316</v>
      </c>
      <c r="B898" s="5" t="s">
        <v>2317</v>
      </c>
      <c r="C898" s="5" t="s">
        <v>27</v>
      </c>
      <c r="D898" s="5" t="s">
        <v>28</v>
      </c>
      <c r="E898" s="5" t="s">
        <v>81</v>
      </c>
      <c r="F898" s="9">
        <v>98</v>
      </c>
      <c r="G898" s="9">
        <v>1089</v>
      </c>
      <c r="H898" s="5" t="s">
        <v>20</v>
      </c>
      <c r="I898" s="5" t="s">
        <v>2318</v>
      </c>
      <c r="J898" s="12" t="str">
        <f>HYPERLINK("https://www.boe.es/gazeta/dias/1804/12/07/pdfs/GMD-1804-98.pdf#page=5","Abrir facsímil")</f>
        <v>Abrir facsímil</v>
      </c>
      <c r="K898" s="15" t="s">
        <v>22</v>
      </c>
    </row>
    <row r="899" spans="1:11" ht="42" customHeight="1">
      <c r="A899" s="4" t="s">
        <v>2319</v>
      </c>
      <c r="B899" s="5" t="s">
        <v>2320</v>
      </c>
      <c r="C899" s="5" t="s">
        <v>27</v>
      </c>
      <c r="D899" s="5" t="s">
        <v>28</v>
      </c>
      <c r="E899" s="5" t="s">
        <v>272</v>
      </c>
      <c r="F899" s="9">
        <v>30</v>
      </c>
      <c r="G899" s="9">
        <v>330</v>
      </c>
      <c r="H899" s="5" t="s">
        <v>20</v>
      </c>
      <c r="I899" s="5" t="s">
        <v>2321</v>
      </c>
      <c r="J899" s="12" t="str">
        <f>HYPERLINK("https://www.boe.es/gazeta/dias/1804/04/13/pdfs/GMD-1804-30.pdf#page=8","Abrir facsímil")</f>
        <v>Abrir facsímil</v>
      </c>
      <c r="K899" s="15" t="s">
        <v>22</v>
      </c>
    </row>
    <row r="900" spans="1:11" ht="42" customHeight="1">
      <c r="A900" s="4" t="s">
        <v>2322</v>
      </c>
      <c r="B900" s="5" t="s">
        <v>2323</v>
      </c>
      <c r="C900" s="5" t="s">
        <v>17</v>
      </c>
      <c r="D900" s="5" t="s">
        <v>18</v>
      </c>
      <c r="E900" s="5" t="s">
        <v>75</v>
      </c>
      <c r="F900" s="9">
        <v>16</v>
      </c>
      <c r="G900" s="9">
        <v>173</v>
      </c>
      <c r="H900" s="5" t="s">
        <v>20</v>
      </c>
      <c r="I900" s="5" t="s">
        <v>2324</v>
      </c>
      <c r="J900" s="12" t="str">
        <f>HYPERLINK("https://www.boe.es/gazeta/dias/1804/02/24/pdfs/GMD-1804-16.pdf#page=9","Abrir facsímil")</f>
        <v>Abrir facsímil</v>
      </c>
      <c r="K900" s="15" t="s">
        <v>22</v>
      </c>
    </row>
    <row r="901" spans="1:11" ht="42" customHeight="1">
      <c r="A901" s="4" t="s">
        <v>2325</v>
      </c>
      <c r="B901" s="5" t="s">
        <v>2325</v>
      </c>
      <c r="C901" s="5" t="s">
        <v>27</v>
      </c>
      <c r="D901" s="5" t="s">
        <v>28</v>
      </c>
      <c r="E901" s="5" t="s">
        <v>212</v>
      </c>
      <c r="F901" s="9">
        <v>89</v>
      </c>
      <c r="G901" s="9">
        <v>990</v>
      </c>
      <c r="H901" s="5" t="s">
        <v>20</v>
      </c>
      <c r="I901" s="5" t="s">
        <v>2326</v>
      </c>
      <c r="J901" s="12" t="str">
        <f>HYPERLINK("https://www.boe.es/gazeta/dias/1804/11/06/pdfs/GMD-1804-89.pdf#page=10","Abrir facsímil")</f>
        <v>Abrir facsímil</v>
      </c>
      <c r="K901" s="15" t="s">
        <v>22</v>
      </c>
    </row>
    <row r="902" spans="1:11" ht="42" customHeight="1">
      <c r="A902" s="4" t="s">
        <v>2327</v>
      </c>
      <c r="B902" s="5" t="s">
        <v>2328</v>
      </c>
      <c r="C902" s="5" t="s">
        <v>57</v>
      </c>
      <c r="D902" s="5" t="s">
        <v>58</v>
      </c>
      <c r="E902" s="5" t="s">
        <v>326</v>
      </c>
      <c r="F902" s="9">
        <v>69</v>
      </c>
      <c r="G902" s="9">
        <v>770</v>
      </c>
      <c r="H902" s="5" t="s">
        <v>20</v>
      </c>
      <c r="I902" s="5" t="s">
        <v>2329</v>
      </c>
      <c r="J902" s="12" t="str">
        <f>HYPERLINK("https://www.boe.es/gazeta/dias/1804/08/28/pdfs/GMD-1804-69.pdf#page=4","Abrir facsímil")</f>
        <v>Abrir facsímil</v>
      </c>
      <c r="K902" s="15" t="s">
        <v>22</v>
      </c>
    </row>
    <row r="903" spans="1:11" ht="42" customHeight="1">
      <c r="A903" s="4" t="s">
        <v>2330</v>
      </c>
      <c r="B903" s="5" t="s">
        <v>2331</v>
      </c>
      <c r="C903" s="5" t="s">
        <v>57</v>
      </c>
      <c r="D903" s="5" t="s">
        <v>58</v>
      </c>
      <c r="E903" s="5" t="s">
        <v>258</v>
      </c>
      <c r="F903" s="9">
        <v>14</v>
      </c>
      <c r="G903" s="9">
        <v>148</v>
      </c>
      <c r="H903" s="5" t="s">
        <v>20</v>
      </c>
      <c r="I903" s="5" t="s">
        <v>2332</v>
      </c>
      <c r="J903" s="12" t="str">
        <f>HYPERLINK("https://www.boe.es/gazeta/dias/1804/02/17/pdfs/GMD-1804-14.pdf#page=4","Abrir facsímil")</f>
        <v>Abrir facsímil</v>
      </c>
      <c r="K903" s="15" t="s">
        <v>22</v>
      </c>
    </row>
    <row r="904" spans="1:11" ht="42" customHeight="1">
      <c r="A904" s="4" t="s">
        <v>2330</v>
      </c>
      <c r="B904" s="5" t="s">
        <v>2331</v>
      </c>
      <c r="C904" s="5" t="s">
        <v>57</v>
      </c>
      <c r="D904" s="5" t="s">
        <v>58</v>
      </c>
      <c r="E904" s="5" t="s">
        <v>159</v>
      </c>
      <c r="F904" s="9">
        <v>15</v>
      </c>
      <c r="G904" s="9">
        <v>160</v>
      </c>
      <c r="H904" s="5" t="s">
        <v>20</v>
      </c>
      <c r="I904" s="5" t="s">
        <v>2333</v>
      </c>
      <c r="J904" s="12" t="str">
        <f>HYPERLINK("https://www.boe.es/gazeta/dias/1804/02/21/pdfs/GMD-1804-15.pdf#page=4","Abrir facsímil")</f>
        <v>Abrir facsímil</v>
      </c>
      <c r="K904" s="15" t="s">
        <v>22</v>
      </c>
    </row>
    <row r="905" spans="1:11" ht="42" customHeight="1">
      <c r="A905" s="4" t="s">
        <v>2330</v>
      </c>
      <c r="B905" s="5" t="s">
        <v>2331</v>
      </c>
      <c r="C905" s="5" t="s">
        <v>57</v>
      </c>
      <c r="D905" s="5" t="s">
        <v>58</v>
      </c>
      <c r="E905" s="5" t="s">
        <v>350</v>
      </c>
      <c r="F905" s="9">
        <v>19</v>
      </c>
      <c r="G905" s="9">
        <v>203</v>
      </c>
      <c r="H905" s="5" t="s">
        <v>20</v>
      </c>
      <c r="I905" s="5" t="s">
        <v>2334</v>
      </c>
      <c r="J905" s="12" t="str">
        <f>HYPERLINK("https://www.boe.es/gazeta/dias/1804/03/06/pdfs/GMD-1804-19.pdf#page=3","Abrir facsímil")</f>
        <v>Abrir facsímil</v>
      </c>
      <c r="K905" s="15" t="s">
        <v>22</v>
      </c>
    </row>
    <row r="906" spans="1:11" ht="42" customHeight="1">
      <c r="A906" s="4" t="s">
        <v>2330</v>
      </c>
      <c r="B906" s="5" t="s">
        <v>2331</v>
      </c>
      <c r="C906" s="5" t="s">
        <v>57</v>
      </c>
      <c r="D906" s="5" t="s">
        <v>58</v>
      </c>
      <c r="E906" s="5" t="s">
        <v>350</v>
      </c>
      <c r="F906" s="9">
        <v>19</v>
      </c>
      <c r="G906" s="9">
        <v>205</v>
      </c>
      <c r="H906" s="5" t="s">
        <v>20</v>
      </c>
      <c r="I906" s="5" t="s">
        <v>2335</v>
      </c>
      <c r="J906" s="12" t="str">
        <f>HYPERLINK("https://www.boe.es/gazeta/dias/1804/03/06/pdfs/GMD-1804-19.pdf#page=5","Abrir facsímil")</f>
        <v>Abrir facsímil</v>
      </c>
      <c r="K906" s="15" t="s">
        <v>22</v>
      </c>
    </row>
    <row r="907" spans="1:11" ht="42" customHeight="1">
      <c r="A907" s="4" t="s">
        <v>2330</v>
      </c>
      <c r="B907" s="5" t="s">
        <v>2331</v>
      </c>
      <c r="C907" s="5" t="s">
        <v>85</v>
      </c>
      <c r="D907" s="5" t="s">
        <v>86</v>
      </c>
      <c r="E907" s="5" t="s">
        <v>178</v>
      </c>
      <c r="F907" s="9">
        <v>20</v>
      </c>
      <c r="G907" s="9">
        <v>215</v>
      </c>
      <c r="H907" s="5" t="s">
        <v>20</v>
      </c>
      <c r="I907" s="5" t="s">
        <v>2336</v>
      </c>
      <c r="J907" s="12" t="str">
        <f>HYPERLINK("https://www.boe.es/gazeta/dias/1804/03/09/pdfs/GMD-1804-20.pdf#page=3","Abrir facsímil")</f>
        <v>Abrir facsímil</v>
      </c>
      <c r="K907" s="15" t="s">
        <v>22</v>
      </c>
    </row>
    <row r="908" spans="1:11" ht="42" customHeight="1">
      <c r="A908" s="4" t="s">
        <v>2330</v>
      </c>
      <c r="B908" s="5" t="s">
        <v>2331</v>
      </c>
      <c r="C908" s="5" t="s">
        <v>17</v>
      </c>
      <c r="D908" s="5" t="s">
        <v>18</v>
      </c>
      <c r="E908" s="5" t="s">
        <v>109</v>
      </c>
      <c r="F908" s="9">
        <v>35</v>
      </c>
      <c r="G908" s="9">
        <v>384</v>
      </c>
      <c r="H908" s="5" t="s">
        <v>20</v>
      </c>
      <c r="I908" s="5" t="s">
        <v>2337</v>
      </c>
      <c r="J908" s="12" t="str">
        <f>HYPERLINK("https://www.boe.es/gazeta/dias/1804/05/01/pdfs/GMD-1804-35.pdf#page=6","Abrir facsímil")</f>
        <v>Abrir facsímil</v>
      </c>
      <c r="K908" s="15" t="s">
        <v>22</v>
      </c>
    </row>
    <row r="909" spans="1:11" ht="42" customHeight="1">
      <c r="A909" s="4" t="s">
        <v>2330</v>
      </c>
      <c r="B909" s="5" t="s">
        <v>2331</v>
      </c>
      <c r="C909" s="5" t="s">
        <v>57</v>
      </c>
      <c r="D909" s="5" t="s">
        <v>58</v>
      </c>
      <c r="E909" s="5" t="s">
        <v>61</v>
      </c>
      <c r="F909" s="9">
        <v>61</v>
      </c>
      <c r="G909" s="9">
        <v>674</v>
      </c>
      <c r="H909" s="5" t="s">
        <v>20</v>
      </c>
      <c r="I909" s="5" t="s">
        <v>2338</v>
      </c>
      <c r="J909" s="12" t="str">
        <f>HYPERLINK("https://www.boe.es/gazeta/dias/1804/07/31/pdfs/GMD-1804-61.pdf#page=4","Abrir facsímil")</f>
        <v>Abrir facsímil</v>
      </c>
      <c r="K909" s="15" t="s">
        <v>22</v>
      </c>
    </row>
    <row r="910" spans="1:11" ht="42" customHeight="1">
      <c r="A910" s="4" t="s">
        <v>2330</v>
      </c>
      <c r="B910" s="5" t="s">
        <v>2331</v>
      </c>
      <c r="C910" s="5" t="s">
        <v>57</v>
      </c>
      <c r="D910" s="5" t="s">
        <v>58</v>
      </c>
      <c r="E910" s="5" t="s">
        <v>378</v>
      </c>
      <c r="F910" s="9">
        <v>65</v>
      </c>
      <c r="G910" s="9">
        <v>726</v>
      </c>
      <c r="H910" s="5" t="s">
        <v>20</v>
      </c>
      <c r="I910" s="5" t="s">
        <v>2339</v>
      </c>
      <c r="J910" s="12" t="str">
        <f>HYPERLINK("https://www.boe.es/gazeta/dias/1804/08/14/pdfs/GMD-1804-65.pdf#page=4","Abrir facsímil")</f>
        <v>Abrir facsímil</v>
      </c>
      <c r="K910" s="15" t="s">
        <v>22</v>
      </c>
    </row>
    <row r="911" spans="1:11" ht="42" customHeight="1">
      <c r="A911" s="4" t="s">
        <v>2330</v>
      </c>
      <c r="B911" s="5" t="s">
        <v>2331</v>
      </c>
      <c r="C911" s="5" t="s">
        <v>57</v>
      </c>
      <c r="D911" s="5" t="s">
        <v>58</v>
      </c>
      <c r="E911" s="5" t="s">
        <v>91</v>
      </c>
      <c r="F911" s="9">
        <v>72</v>
      </c>
      <c r="G911" s="9">
        <v>804</v>
      </c>
      <c r="H911" s="5" t="s">
        <v>20</v>
      </c>
      <c r="I911" s="5" t="s">
        <v>2340</v>
      </c>
      <c r="J911" s="12" t="str">
        <f>HYPERLINK("https://www.boe.es/gazeta/dias/1804/09/07/pdfs/GMD-1804-72.pdf#page=6","Abrir facsímil")</f>
        <v>Abrir facsímil</v>
      </c>
      <c r="K911" s="15" t="s">
        <v>22</v>
      </c>
    </row>
    <row r="912" spans="1:11" ht="42" customHeight="1">
      <c r="A912" s="4" t="s">
        <v>2330</v>
      </c>
      <c r="B912" s="5" t="s">
        <v>2331</v>
      </c>
      <c r="C912" s="5" t="s">
        <v>57</v>
      </c>
      <c r="D912" s="5" t="s">
        <v>58</v>
      </c>
      <c r="E912" s="5" t="s">
        <v>308</v>
      </c>
      <c r="F912" s="9">
        <v>96</v>
      </c>
      <c r="G912" s="9">
        <v>1064</v>
      </c>
      <c r="H912" s="5" t="s">
        <v>20</v>
      </c>
      <c r="I912" s="5" t="s">
        <v>2341</v>
      </c>
      <c r="J912" s="12" t="str">
        <f>HYPERLINK("https://www.boe.es/gazeta/dias/1804/11/30/pdfs/GMD-1804-96.pdf#page=4","Abrir facsímil")</f>
        <v>Abrir facsímil</v>
      </c>
      <c r="K912" s="15" t="s">
        <v>22</v>
      </c>
    </row>
    <row r="913" spans="1:11" ht="42" customHeight="1">
      <c r="A913" s="4" t="s">
        <v>2342</v>
      </c>
      <c r="B913" s="5" t="s">
        <v>2343</v>
      </c>
      <c r="C913" s="5" t="s">
        <v>27</v>
      </c>
      <c r="D913" s="5" t="s">
        <v>28</v>
      </c>
      <c r="E913" s="5" t="s">
        <v>241</v>
      </c>
      <c r="F913" s="9">
        <v>71</v>
      </c>
      <c r="G913" s="9">
        <v>791</v>
      </c>
      <c r="H913" s="5" t="s">
        <v>20</v>
      </c>
      <c r="I913" s="5" t="s">
        <v>2344</v>
      </c>
      <c r="J913" s="12" t="str">
        <f>HYPERLINK("https://www.boe.es/gazeta/dias/1804/09/04/pdfs/GMD-1804-71.pdf#page=5","Abrir facsímil")</f>
        <v>Abrir facsímil</v>
      </c>
      <c r="K913" s="15" t="s">
        <v>22</v>
      </c>
    </row>
    <row r="914" spans="1:11" ht="42" customHeight="1">
      <c r="A914" s="4" t="s">
        <v>2345</v>
      </c>
      <c r="B914" s="5" t="s">
        <v>2346</v>
      </c>
      <c r="C914" s="5" t="s">
        <v>27</v>
      </c>
      <c r="D914" s="5" t="s">
        <v>28</v>
      </c>
      <c r="E914" s="5" t="s">
        <v>515</v>
      </c>
      <c r="F914" s="9">
        <v>102</v>
      </c>
      <c r="G914" s="9">
        <v>1139</v>
      </c>
      <c r="H914" s="5" t="s">
        <v>20</v>
      </c>
      <c r="I914" s="5" t="s">
        <v>2347</v>
      </c>
      <c r="J914" s="12" t="str">
        <f>HYPERLINK("https://www.boe.es/gazeta/dias/1804/12/21/pdfs/GMD-1804-102.pdf#page=7","Abrir facsímil")</f>
        <v>Abrir facsímil</v>
      </c>
      <c r="K914" s="15" t="s">
        <v>22</v>
      </c>
    </row>
    <row r="915" spans="1:11" ht="42" customHeight="1">
      <c r="A915" s="4" t="s">
        <v>2348</v>
      </c>
      <c r="B915" s="5" t="s">
        <v>2349</v>
      </c>
      <c r="C915" s="5" t="s">
        <v>17</v>
      </c>
      <c r="D915" s="5" t="s">
        <v>18</v>
      </c>
      <c r="E915" s="5" t="s">
        <v>37</v>
      </c>
      <c r="F915" s="9">
        <v>29</v>
      </c>
      <c r="G915" s="9">
        <v>318</v>
      </c>
      <c r="H915" s="5" t="s">
        <v>20</v>
      </c>
      <c r="I915" s="5" t="s">
        <v>2350</v>
      </c>
      <c r="J915" s="12" t="str">
        <f>HYPERLINK("https://www.boe.es/gazeta/dias/1804/04/10/pdfs/GMD-1804-29.pdf#page=8","Abrir facsímil")</f>
        <v>Abrir facsímil</v>
      </c>
      <c r="K915" s="15" t="s">
        <v>22</v>
      </c>
    </row>
    <row r="916" spans="1:11" ht="42" customHeight="1">
      <c r="A916" s="4" t="s">
        <v>2351</v>
      </c>
      <c r="B916" s="5" t="s">
        <v>2352</v>
      </c>
      <c r="C916" s="5" t="s">
        <v>27</v>
      </c>
      <c r="D916" s="5" t="s">
        <v>28</v>
      </c>
      <c r="E916" s="5" t="s">
        <v>212</v>
      </c>
      <c r="F916" s="9">
        <v>89</v>
      </c>
      <c r="G916" s="9">
        <v>990</v>
      </c>
      <c r="H916" s="5" t="s">
        <v>20</v>
      </c>
      <c r="I916" s="5" t="s">
        <v>2353</v>
      </c>
      <c r="J916" s="12" t="str">
        <f>HYPERLINK("https://www.boe.es/gazeta/dias/1804/11/06/pdfs/GMD-1804-89.pdf#page=10","Abrir facsímil")</f>
        <v>Abrir facsímil</v>
      </c>
      <c r="K916" s="15" t="s">
        <v>22</v>
      </c>
    </row>
    <row r="917" spans="1:11" ht="42" customHeight="1">
      <c r="A917" s="4" t="s">
        <v>2354</v>
      </c>
      <c r="B917" s="5" t="s">
        <v>2355</v>
      </c>
      <c r="C917" s="5" t="s">
        <v>27</v>
      </c>
      <c r="D917" s="5" t="s">
        <v>28</v>
      </c>
      <c r="E917" s="5" t="s">
        <v>950</v>
      </c>
      <c r="F917" s="9">
        <v>90</v>
      </c>
      <c r="G917" s="9">
        <v>999</v>
      </c>
      <c r="H917" s="5" t="s">
        <v>20</v>
      </c>
      <c r="I917" s="5" t="s">
        <v>2356</v>
      </c>
      <c r="J917" s="12" t="str">
        <f>HYPERLINK("https://www.boe.es/gazeta/dias/1804/11/09/pdfs/GMD-1804-90.pdf#page=7","Abrir facsímil")</f>
        <v>Abrir facsímil</v>
      </c>
      <c r="K917" s="15" t="s">
        <v>22</v>
      </c>
    </row>
    <row r="918" spans="1:11" ht="42" customHeight="1">
      <c r="A918" s="4" t="s">
        <v>2357</v>
      </c>
      <c r="B918" s="5" t="s">
        <v>2358</v>
      </c>
      <c r="C918" s="5" t="s">
        <v>57</v>
      </c>
      <c r="D918" s="5" t="s">
        <v>58</v>
      </c>
      <c r="E918" s="5" t="s">
        <v>87</v>
      </c>
      <c r="F918" s="9">
        <v>9</v>
      </c>
      <c r="G918" s="9">
        <v>94</v>
      </c>
      <c r="H918" s="5" t="s">
        <v>20</v>
      </c>
      <c r="I918" s="5" t="s">
        <v>2359</v>
      </c>
      <c r="J918" s="12" t="str">
        <f>HYPERLINK("https://www.boe.es/gazeta/dias/1804/01/31/pdfs/GMD-1804-9.pdf#page=6","Abrir facsímil")</f>
        <v>Abrir facsímil</v>
      </c>
      <c r="K918" s="15" t="s">
        <v>22</v>
      </c>
    </row>
    <row r="919" spans="1:11" ht="42" customHeight="1">
      <c r="A919" s="4" t="s">
        <v>2360</v>
      </c>
      <c r="B919" s="5" t="s">
        <v>2361</v>
      </c>
      <c r="C919" s="5" t="s">
        <v>17</v>
      </c>
      <c r="D919" s="5" t="s">
        <v>18</v>
      </c>
      <c r="E919" s="5" t="s">
        <v>354</v>
      </c>
      <c r="F919" s="9">
        <v>1</v>
      </c>
      <c r="G919" s="9">
        <v>4</v>
      </c>
      <c r="H919" s="5" t="s">
        <v>20</v>
      </c>
      <c r="I919" s="5" t="s">
        <v>2362</v>
      </c>
      <c r="J919" s="12" t="str">
        <f>HYPERLINK("https://www.boe.es/gazeta/dias/1804/01/03/pdfs/GMD-1804-1.pdf#page=4","Abrir facsímil")</f>
        <v>Abrir facsímil</v>
      </c>
      <c r="K919" s="15" t="s">
        <v>22</v>
      </c>
    </row>
    <row r="920" spans="1:11" ht="42" customHeight="1">
      <c r="A920" s="4" t="s">
        <v>2360</v>
      </c>
      <c r="B920" s="5" t="s">
        <v>2361</v>
      </c>
      <c r="C920" s="5" t="s">
        <v>57</v>
      </c>
      <c r="D920" s="5" t="s">
        <v>58</v>
      </c>
      <c r="E920" s="5" t="s">
        <v>782</v>
      </c>
      <c r="F920" s="9">
        <v>75</v>
      </c>
      <c r="G920" s="9">
        <v>839</v>
      </c>
      <c r="H920" s="5" t="s">
        <v>20</v>
      </c>
      <c r="I920" s="5" t="s">
        <v>2363</v>
      </c>
      <c r="J920" s="12" t="str">
        <f>HYPERLINK("https://www.boe.es/gazeta/dias/1804/09/18/pdfs/GMD-1804-75.pdf#page=5","Abrir facsímil")</f>
        <v>Abrir facsímil</v>
      </c>
      <c r="K920" s="15" t="s">
        <v>22</v>
      </c>
    </row>
    <row r="921" spans="1:11" ht="42" customHeight="1">
      <c r="A921" s="4" t="s">
        <v>2360</v>
      </c>
      <c r="B921" s="5" t="s">
        <v>2361</v>
      </c>
      <c r="C921" s="5" t="s">
        <v>57</v>
      </c>
      <c r="D921" s="5" t="s">
        <v>58</v>
      </c>
      <c r="E921" s="5" t="s">
        <v>47</v>
      </c>
      <c r="F921" s="9">
        <v>78</v>
      </c>
      <c r="G921" s="9">
        <v>866</v>
      </c>
      <c r="H921" s="5" t="s">
        <v>20</v>
      </c>
      <c r="I921" s="5" t="s">
        <v>2364</v>
      </c>
      <c r="J921" s="12" t="str">
        <f>HYPERLINK("https://www.boe.es/gazeta/dias/1804/09/28/pdfs/GMD-1804-78.pdf#page=4","Abrir facsímil")</f>
        <v>Abrir facsímil</v>
      </c>
      <c r="K921" s="15" t="s">
        <v>22</v>
      </c>
    </row>
    <row r="922" spans="1:11" ht="42" customHeight="1">
      <c r="A922" s="4" t="s">
        <v>2360</v>
      </c>
      <c r="B922" s="5" t="s">
        <v>2361</v>
      </c>
      <c r="C922" s="5" t="s">
        <v>57</v>
      </c>
      <c r="D922" s="5" t="s">
        <v>58</v>
      </c>
      <c r="E922" s="5" t="s">
        <v>308</v>
      </c>
      <c r="F922" s="9">
        <v>96</v>
      </c>
      <c r="G922" s="9">
        <v>1065</v>
      </c>
      <c r="H922" s="5" t="s">
        <v>20</v>
      </c>
      <c r="I922" s="5" t="s">
        <v>2365</v>
      </c>
      <c r="J922" s="12" t="str">
        <f>HYPERLINK("https://www.boe.es/gazeta/dias/1804/11/30/pdfs/GMD-1804-96.pdf#page=5","Abrir facsímil")</f>
        <v>Abrir facsímil</v>
      </c>
      <c r="K922" s="15" t="s">
        <v>22</v>
      </c>
    </row>
    <row r="923" spans="1:11" ht="42" customHeight="1">
      <c r="A923" s="4" t="s">
        <v>2366</v>
      </c>
      <c r="B923" s="5" t="s">
        <v>2367</v>
      </c>
      <c r="C923" s="5" t="s">
        <v>27</v>
      </c>
      <c r="D923" s="5" t="s">
        <v>28</v>
      </c>
      <c r="E923" s="5" t="s">
        <v>199</v>
      </c>
      <c r="F923" s="9">
        <v>46</v>
      </c>
      <c r="G923" s="9">
        <v>512</v>
      </c>
      <c r="H923" s="5" t="s">
        <v>20</v>
      </c>
      <c r="I923" s="5" t="s">
        <v>2368</v>
      </c>
      <c r="J923" s="12" t="str">
        <f>HYPERLINK("https://www.boe.es/gazeta/dias/1804/06/08/pdfs/GMD-1804-46.pdf#page=10","Abrir facsímil")</f>
        <v>Abrir facsímil</v>
      </c>
      <c r="K923" s="15" t="s">
        <v>22</v>
      </c>
    </row>
    <row r="924" spans="1:11" ht="42" customHeight="1">
      <c r="A924" s="4" t="s">
        <v>2369</v>
      </c>
      <c r="B924" s="5" t="s">
        <v>2370</v>
      </c>
      <c r="C924" s="5" t="s">
        <v>27</v>
      </c>
      <c r="D924" s="5" t="s">
        <v>28</v>
      </c>
      <c r="E924" s="5" t="s">
        <v>47</v>
      </c>
      <c r="F924" s="9">
        <v>78</v>
      </c>
      <c r="G924" s="9">
        <v>867</v>
      </c>
      <c r="H924" s="5" t="s">
        <v>20</v>
      </c>
      <c r="I924" s="5" t="s">
        <v>2371</v>
      </c>
      <c r="J924" s="12" t="str">
        <f>HYPERLINK("https://www.boe.es/gazeta/dias/1804/09/28/pdfs/GMD-1804-78.pdf#page=5","Abrir facsímil")</f>
        <v>Abrir facsímil</v>
      </c>
      <c r="K924" s="15" t="s">
        <v>22</v>
      </c>
    </row>
    <row r="925" spans="1:11" ht="42" customHeight="1">
      <c r="A925" s="4" t="s">
        <v>2372</v>
      </c>
      <c r="B925" s="5" t="s">
        <v>2373</v>
      </c>
      <c r="C925" s="5" t="s">
        <v>27</v>
      </c>
      <c r="D925" s="5" t="s">
        <v>28</v>
      </c>
      <c r="E925" s="5" t="s">
        <v>623</v>
      </c>
      <c r="F925" s="9">
        <v>51</v>
      </c>
      <c r="G925" s="9">
        <v>562</v>
      </c>
      <c r="H925" s="5" t="s">
        <v>20</v>
      </c>
      <c r="I925" s="5" t="s">
        <v>2374</v>
      </c>
      <c r="J925" s="12" t="str">
        <f>HYPERLINK("https://www.boe.es/gazeta/dias/1804/06/26/pdfs/GMD-1804-51.pdf#page=8","Abrir facsímil")</f>
        <v>Abrir facsímil</v>
      </c>
      <c r="K925" s="15" t="s">
        <v>22</v>
      </c>
    </row>
    <row r="926" spans="1:11" ht="42" customHeight="1">
      <c r="A926" s="4" t="s">
        <v>2375</v>
      </c>
      <c r="B926" s="5" t="s">
        <v>2376</v>
      </c>
      <c r="C926" s="5" t="s">
        <v>27</v>
      </c>
      <c r="D926" s="5" t="s">
        <v>28</v>
      </c>
      <c r="E926" s="5" t="s">
        <v>736</v>
      </c>
      <c r="F926" s="9">
        <v>83</v>
      </c>
      <c r="G926" s="9">
        <v>919</v>
      </c>
      <c r="H926" s="5" t="s">
        <v>20</v>
      </c>
      <c r="I926" s="5" t="s">
        <v>2377</v>
      </c>
      <c r="J926" s="12" t="str">
        <f>HYPERLINK("https://www.boe.es/gazeta/dias/1804/10/16/pdfs/GMD-1804-83.pdf#page=9","Abrir facsímil")</f>
        <v>Abrir facsímil</v>
      </c>
      <c r="K926" s="15" t="s">
        <v>22</v>
      </c>
    </row>
    <row r="927" spans="1:11" ht="42" customHeight="1">
      <c r="A927" s="4" t="s">
        <v>2378</v>
      </c>
      <c r="B927" s="5" t="s">
        <v>2378</v>
      </c>
      <c r="C927" s="5" t="s">
        <v>17</v>
      </c>
      <c r="D927" s="5" t="s">
        <v>18</v>
      </c>
      <c r="E927" s="5" t="s">
        <v>61</v>
      </c>
      <c r="F927" s="9">
        <v>61</v>
      </c>
      <c r="G927" s="9">
        <v>676</v>
      </c>
      <c r="H927" s="5" t="s">
        <v>20</v>
      </c>
      <c r="I927" s="5" t="s">
        <v>2379</v>
      </c>
      <c r="J927" s="12" t="str">
        <f>HYPERLINK("https://www.boe.es/gazeta/dias/1804/07/31/pdfs/GMD-1804-61.pdf#page=6","Abrir facsímil")</f>
        <v>Abrir facsímil</v>
      </c>
      <c r="K927" s="15" t="s">
        <v>22</v>
      </c>
    </row>
    <row r="928" spans="1:11" ht="42" customHeight="1">
      <c r="A928" s="4" t="s">
        <v>2380</v>
      </c>
      <c r="B928" s="5" t="s">
        <v>2380</v>
      </c>
      <c r="C928" s="5" t="s">
        <v>262</v>
      </c>
      <c r="D928" s="5" t="s">
        <v>263</v>
      </c>
      <c r="E928" s="5" t="s">
        <v>264</v>
      </c>
      <c r="F928" s="9">
        <v>49</v>
      </c>
      <c r="G928" s="9" t="s">
        <v>2381</v>
      </c>
      <c r="H928" s="5" t="s">
        <v>20</v>
      </c>
      <c r="I928" s="5" t="s">
        <v>2382</v>
      </c>
      <c r="J928" s="12" t="str">
        <f>HYPERLINK("https://www.boe.es/gazeta/dias/1804/06/19/pdfs/GMD-C-1804-49.pdf#page=5","Abrir facsímil")</f>
        <v>Abrir facsímil</v>
      </c>
      <c r="K928" s="15" t="s">
        <v>22</v>
      </c>
    </row>
    <row r="929" spans="1:11" ht="42" customHeight="1">
      <c r="A929" s="4" t="s">
        <v>2380</v>
      </c>
      <c r="B929" s="5" t="s">
        <v>2380</v>
      </c>
      <c r="C929" s="5" t="s">
        <v>262</v>
      </c>
      <c r="D929" s="5" t="s">
        <v>263</v>
      </c>
      <c r="E929" s="5" t="s">
        <v>264</v>
      </c>
      <c r="F929" s="9">
        <v>49</v>
      </c>
      <c r="G929" s="9" t="s">
        <v>2383</v>
      </c>
      <c r="H929" s="5" t="s">
        <v>20</v>
      </c>
      <c r="I929" s="5" t="s">
        <v>2384</v>
      </c>
      <c r="J929" s="12" t="str">
        <f>HYPERLINK("https://www.boe.es/gazeta/dias/1804/06/19/pdfs/GMD-C-1804-49.pdf#page=6","Abrir facsímil")</f>
        <v>Abrir facsímil</v>
      </c>
      <c r="K929" s="15" t="s">
        <v>22</v>
      </c>
    </row>
    <row r="930" spans="1:11" ht="42" customHeight="1">
      <c r="A930" s="4" t="s">
        <v>2385</v>
      </c>
      <c r="B930" s="5" t="s">
        <v>2385</v>
      </c>
      <c r="C930" s="5" t="s">
        <v>65</v>
      </c>
      <c r="D930" s="5" t="s">
        <v>66</v>
      </c>
      <c r="E930" s="5" t="s">
        <v>526</v>
      </c>
      <c r="F930" s="9">
        <v>95</v>
      </c>
      <c r="G930" s="9">
        <v>1056</v>
      </c>
      <c r="H930" s="5" t="s">
        <v>20</v>
      </c>
      <c r="I930" s="5" t="s">
        <v>2386</v>
      </c>
      <c r="J930" s="12" t="str">
        <f>HYPERLINK("https://www.boe.es/gazeta/dias/1804/11/27/pdfs/GMD-1804-95.pdf#page=8","Abrir facsímil")</f>
        <v>Abrir facsímil</v>
      </c>
      <c r="K930" s="15" t="s">
        <v>22</v>
      </c>
    </row>
    <row r="931" spans="1:11" ht="42" customHeight="1">
      <c r="A931" s="4" t="s">
        <v>2387</v>
      </c>
      <c r="B931" s="5" t="s">
        <v>2387</v>
      </c>
      <c r="C931" s="5" t="s">
        <v>27</v>
      </c>
      <c r="D931" s="5" t="s">
        <v>28</v>
      </c>
      <c r="E931" s="5" t="s">
        <v>576</v>
      </c>
      <c r="F931" s="9">
        <v>85</v>
      </c>
      <c r="G931" s="9">
        <v>939</v>
      </c>
      <c r="H931" s="5" t="s">
        <v>20</v>
      </c>
      <c r="I931" s="5" t="s">
        <v>2388</v>
      </c>
      <c r="J931" s="12" t="str">
        <f>HYPERLINK("https://www.boe.es/gazeta/dias/1804/10/23/pdfs/GMD-1804-85.pdf#page=9","Abrir facsímil")</f>
        <v>Abrir facsímil</v>
      </c>
      <c r="K931" s="15" t="s">
        <v>22</v>
      </c>
    </row>
    <row r="932" spans="1:11" ht="42" customHeight="1">
      <c r="A932" s="4" t="s">
        <v>2389</v>
      </c>
      <c r="B932" s="5" t="s">
        <v>2389</v>
      </c>
      <c r="C932" s="5" t="s">
        <v>85</v>
      </c>
      <c r="D932" s="5" t="s">
        <v>86</v>
      </c>
      <c r="E932" s="5" t="s">
        <v>511</v>
      </c>
      <c r="F932" s="9">
        <v>12</v>
      </c>
      <c r="G932" s="9">
        <v>132</v>
      </c>
      <c r="H932" s="5" t="s">
        <v>20</v>
      </c>
      <c r="I932" s="5" t="s">
        <v>2390</v>
      </c>
      <c r="J932" s="12" t="str">
        <f>HYPERLINK("https://www.boe.es/gazeta/dias/1804/02/10/pdfs/GMD-1804-12.pdf#page=8","Abrir facsímil")</f>
        <v>Abrir facsímil</v>
      </c>
      <c r="K932" s="15" t="s">
        <v>22</v>
      </c>
    </row>
    <row r="933" spans="1:11" ht="42" customHeight="1">
      <c r="A933" s="4" t="s">
        <v>2391</v>
      </c>
      <c r="B933" s="5" t="s">
        <v>2392</v>
      </c>
      <c r="C933" s="5" t="s">
        <v>65</v>
      </c>
      <c r="D933" s="5" t="s">
        <v>66</v>
      </c>
      <c r="E933" s="5" t="s">
        <v>466</v>
      </c>
      <c r="F933" s="9">
        <v>76</v>
      </c>
      <c r="G933" s="9">
        <v>847</v>
      </c>
      <c r="H933" s="5" t="s">
        <v>20</v>
      </c>
      <c r="I933" s="5" t="s">
        <v>2393</v>
      </c>
      <c r="J933" s="12" t="str">
        <f>HYPERLINK("https://www.boe.es/gazeta/dias/1804/09/21/pdfs/GMD-1804-76.pdf#page=5","Abrir facsímil")</f>
        <v>Abrir facsímil</v>
      </c>
      <c r="K933" s="15" t="s">
        <v>22</v>
      </c>
    </row>
    <row r="934" spans="1:11" ht="42" customHeight="1">
      <c r="A934" s="4" t="s">
        <v>2391</v>
      </c>
      <c r="B934" s="5" t="s">
        <v>2392</v>
      </c>
      <c r="C934" s="5" t="s">
        <v>27</v>
      </c>
      <c r="D934" s="5" t="s">
        <v>28</v>
      </c>
      <c r="E934" s="5" t="s">
        <v>81</v>
      </c>
      <c r="F934" s="9">
        <v>98</v>
      </c>
      <c r="G934" s="9">
        <v>1088</v>
      </c>
      <c r="H934" s="5" t="s">
        <v>20</v>
      </c>
      <c r="I934" s="5" t="s">
        <v>2394</v>
      </c>
      <c r="J934" s="12" t="str">
        <f>HYPERLINK("https://www.boe.es/gazeta/dias/1804/12/07/pdfs/GMD-1804-98.pdf#page=4","Abrir facsímil")</f>
        <v>Abrir facsímil</v>
      </c>
      <c r="K934" s="15" t="s">
        <v>22</v>
      </c>
    </row>
    <row r="935" spans="1:11" ht="42" customHeight="1">
      <c r="A935" s="4" t="s">
        <v>2395</v>
      </c>
      <c r="B935" s="5" t="s">
        <v>2396</v>
      </c>
      <c r="C935" s="5" t="s">
        <v>198</v>
      </c>
      <c r="D935" s="5" t="s">
        <v>66</v>
      </c>
      <c r="E935" s="5" t="s">
        <v>308</v>
      </c>
      <c r="F935" s="9">
        <v>96</v>
      </c>
      <c r="G935" s="9">
        <v>1067</v>
      </c>
      <c r="H935" s="5" t="s">
        <v>20</v>
      </c>
      <c r="I935" s="5" t="s">
        <v>2397</v>
      </c>
      <c r="J935" s="12" t="str">
        <f>HYPERLINK("https://www.boe.es/gazeta/dias/1804/11/30/pdfs/GMD-1804-96.pdf#page=7","Abrir facsímil")</f>
        <v>Abrir facsímil</v>
      </c>
      <c r="K935" s="15" t="s">
        <v>22</v>
      </c>
    </row>
    <row r="936" spans="1:11" ht="42" customHeight="1">
      <c r="A936" s="4" t="s">
        <v>2398</v>
      </c>
      <c r="B936" s="5" t="s">
        <v>2399</v>
      </c>
      <c r="C936" s="5" t="s">
        <v>57</v>
      </c>
      <c r="D936" s="5" t="s">
        <v>58</v>
      </c>
      <c r="E936" s="5" t="s">
        <v>378</v>
      </c>
      <c r="F936" s="9">
        <v>65</v>
      </c>
      <c r="G936" s="9">
        <v>726</v>
      </c>
      <c r="H936" s="5" t="s">
        <v>20</v>
      </c>
      <c r="I936" s="5" t="s">
        <v>2400</v>
      </c>
      <c r="J936" s="12" t="str">
        <f>HYPERLINK("https://www.boe.es/gazeta/dias/1804/08/14/pdfs/GMD-1804-65.pdf#page=4","Abrir facsímil")</f>
        <v>Abrir facsímil</v>
      </c>
      <c r="K936" s="15" t="s">
        <v>22</v>
      </c>
    </row>
    <row r="937" spans="1:11" ht="42" customHeight="1">
      <c r="A937" s="4" t="s">
        <v>2401</v>
      </c>
      <c r="B937" s="5" t="s">
        <v>2401</v>
      </c>
      <c r="C937" s="5" t="s">
        <v>57</v>
      </c>
      <c r="D937" s="5" t="s">
        <v>58</v>
      </c>
      <c r="E937" s="5" t="s">
        <v>360</v>
      </c>
      <c r="F937" s="9">
        <v>81</v>
      </c>
      <c r="G937" s="9">
        <v>893</v>
      </c>
      <c r="H937" s="5" t="s">
        <v>20</v>
      </c>
      <c r="I937" s="5" t="s">
        <v>2402</v>
      </c>
      <c r="J937" s="12" t="str">
        <f>HYPERLINK("https://www.boe.es/gazeta/dias/1804/10/09/pdfs/GMD-1804-81.pdf#page=3","Abrir facsímil")</f>
        <v>Abrir facsímil</v>
      </c>
      <c r="K937" s="15" t="s">
        <v>22</v>
      </c>
    </row>
    <row r="938" spans="1:11" ht="42" customHeight="1">
      <c r="A938" s="4" t="s">
        <v>2403</v>
      </c>
      <c r="B938" s="5" t="s">
        <v>2404</v>
      </c>
      <c r="C938" s="5" t="s">
        <v>57</v>
      </c>
      <c r="D938" s="5" t="s">
        <v>58</v>
      </c>
      <c r="E938" s="5" t="s">
        <v>23</v>
      </c>
      <c r="F938" s="9">
        <v>91</v>
      </c>
      <c r="G938" s="9">
        <v>1005</v>
      </c>
      <c r="H938" s="5" t="s">
        <v>20</v>
      </c>
      <c r="I938" s="5" t="s">
        <v>2405</v>
      </c>
      <c r="J938" s="12" t="str">
        <f>HYPERLINK("https://www.boe.es/gazeta/dias/1804/11/13/pdfs/GMD-1804-91.pdf#page=5","Abrir facsímil")</f>
        <v>Abrir facsímil</v>
      </c>
      <c r="K938" s="15" t="s">
        <v>22</v>
      </c>
    </row>
    <row r="939" spans="1:11" ht="42" customHeight="1">
      <c r="A939" s="4" t="s">
        <v>2406</v>
      </c>
      <c r="B939" s="5" t="s">
        <v>2407</v>
      </c>
      <c r="C939" s="5" t="s">
        <v>57</v>
      </c>
      <c r="D939" s="5" t="s">
        <v>58</v>
      </c>
      <c r="E939" s="5" t="s">
        <v>172</v>
      </c>
      <c r="F939" s="9">
        <v>38</v>
      </c>
      <c r="G939" s="9">
        <v>419</v>
      </c>
      <c r="H939" s="5" t="s">
        <v>20</v>
      </c>
      <c r="I939" s="5" t="s">
        <v>2408</v>
      </c>
      <c r="J939" s="12" t="str">
        <f>HYPERLINK("https://www.boe.es/gazeta/dias/1804/05/11/pdfs/GMD-1804-38.pdf#page=5","Abrir facsímil")</f>
        <v>Abrir facsímil</v>
      </c>
      <c r="K939" s="15" t="s">
        <v>22</v>
      </c>
    </row>
    <row r="940" spans="1:11" ht="42" customHeight="1">
      <c r="A940" s="4" t="s">
        <v>2409</v>
      </c>
      <c r="B940" s="5" t="s">
        <v>2410</v>
      </c>
      <c r="C940" s="5" t="s">
        <v>57</v>
      </c>
      <c r="D940" s="5" t="s">
        <v>58</v>
      </c>
      <c r="E940" s="5" t="s">
        <v>298</v>
      </c>
      <c r="F940" s="9">
        <v>10</v>
      </c>
      <c r="G940" s="9">
        <v>102</v>
      </c>
      <c r="H940" s="5" t="s">
        <v>20</v>
      </c>
      <c r="I940" s="5" t="s">
        <v>2411</v>
      </c>
      <c r="J940" s="12" t="str">
        <f>HYPERLINK("https://www.boe.es/gazeta/dias/1804/02/03/pdfs/GMD-1804-10.pdf#page=2","Abrir facsímil")</f>
        <v>Abrir facsímil</v>
      </c>
      <c r="K940" s="15" t="s">
        <v>22</v>
      </c>
    </row>
    <row r="941" spans="1:11" ht="42" customHeight="1">
      <c r="A941" s="4" t="s">
        <v>2409</v>
      </c>
      <c r="B941" s="5" t="s">
        <v>2410</v>
      </c>
      <c r="C941" s="5" t="s">
        <v>57</v>
      </c>
      <c r="D941" s="5" t="s">
        <v>58</v>
      </c>
      <c r="E941" s="5" t="s">
        <v>298</v>
      </c>
      <c r="F941" s="9">
        <v>10</v>
      </c>
      <c r="G941" s="9">
        <v>104</v>
      </c>
      <c r="H941" s="5" t="s">
        <v>20</v>
      </c>
      <c r="I941" s="5" t="s">
        <v>2412</v>
      </c>
      <c r="J941" s="12" t="str">
        <f>HYPERLINK("https://www.boe.es/gazeta/dias/1804/02/03/pdfs/GMD-1804-10.pdf#page=4","Abrir facsímil")</f>
        <v>Abrir facsímil</v>
      </c>
      <c r="K941" s="15" t="s">
        <v>22</v>
      </c>
    </row>
    <row r="942" spans="1:11" ht="42" customHeight="1">
      <c r="A942" s="4" t="s">
        <v>2413</v>
      </c>
      <c r="B942" s="5" t="s">
        <v>2413</v>
      </c>
      <c r="C942" s="5" t="s">
        <v>57</v>
      </c>
      <c r="D942" s="5" t="s">
        <v>58</v>
      </c>
      <c r="E942" s="5" t="s">
        <v>704</v>
      </c>
      <c r="F942" s="9">
        <v>36</v>
      </c>
      <c r="G942" s="9">
        <v>394</v>
      </c>
      <c r="H942" s="5" t="s">
        <v>20</v>
      </c>
      <c r="I942" s="5" t="s">
        <v>2414</v>
      </c>
      <c r="J942" s="12" t="str">
        <f>HYPERLINK("https://www.boe.es/gazeta/dias/1804/05/04/pdfs/GMD-1804-36.pdf#page=4","Abrir facsímil")</f>
        <v>Abrir facsímil</v>
      </c>
      <c r="K942" s="15" t="s">
        <v>22</v>
      </c>
    </row>
    <row r="943" spans="1:11" ht="42" customHeight="1">
      <c r="A943" s="4" t="s">
        <v>2413</v>
      </c>
      <c r="B943" s="5" t="s">
        <v>2413</v>
      </c>
      <c r="C943" s="5" t="s">
        <v>57</v>
      </c>
      <c r="D943" s="5" t="s">
        <v>58</v>
      </c>
      <c r="E943" s="5" t="s">
        <v>704</v>
      </c>
      <c r="F943" s="9">
        <v>36</v>
      </c>
      <c r="G943" s="9">
        <v>396</v>
      </c>
      <c r="H943" s="5" t="s">
        <v>20</v>
      </c>
      <c r="I943" s="5" t="s">
        <v>2415</v>
      </c>
      <c r="J943" s="12" t="str">
        <f>HYPERLINK("https://www.boe.es/gazeta/dias/1804/05/04/pdfs/GMD-1804-36.pdf#page=6","Abrir facsímil")</f>
        <v>Abrir facsímil</v>
      </c>
      <c r="K943" s="15" t="s">
        <v>22</v>
      </c>
    </row>
    <row r="944" spans="1:11" ht="42" customHeight="1">
      <c r="A944" s="4" t="s">
        <v>2416</v>
      </c>
      <c r="B944" s="5" t="s">
        <v>2417</v>
      </c>
      <c r="C944" s="5" t="s">
        <v>27</v>
      </c>
      <c r="D944" s="5" t="s">
        <v>28</v>
      </c>
      <c r="E944" s="5" t="s">
        <v>175</v>
      </c>
      <c r="F944" s="9">
        <v>58</v>
      </c>
      <c r="G944" s="9">
        <v>642</v>
      </c>
      <c r="H944" s="5" t="s">
        <v>20</v>
      </c>
      <c r="I944" s="5" t="s">
        <v>2418</v>
      </c>
      <c r="J944" s="12" t="str">
        <f>HYPERLINK("https://www.boe.es/gazeta/dias/1804/07/20/pdfs/GMD-1804-58.pdf#page=8","Abrir facsímil")</f>
        <v>Abrir facsímil</v>
      </c>
      <c r="K944" s="15" t="s">
        <v>22</v>
      </c>
    </row>
    <row r="945" spans="1:11" ht="42" customHeight="1">
      <c r="A945" s="4" t="s">
        <v>2419</v>
      </c>
      <c r="B945" s="5" t="s">
        <v>2420</v>
      </c>
      <c r="C945" s="5" t="s">
        <v>17</v>
      </c>
      <c r="D945" s="5" t="s">
        <v>18</v>
      </c>
      <c r="E945" s="5" t="s">
        <v>272</v>
      </c>
      <c r="F945" s="9">
        <v>30</v>
      </c>
      <c r="G945" s="9">
        <v>330</v>
      </c>
      <c r="H945" s="5" t="s">
        <v>20</v>
      </c>
      <c r="I945" s="5" t="s">
        <v>2421</v>
      </c>
      <c r="J945" s="12" t="str">
        <f>HYPERLINK("https://www.boe.es/gazeta/dias/1804/04/13/pdfs/GMD-1804-30.pdf#page=8","Abrir facsímil")</f>
        <v>Abrir facsímil</v>
      </c>
      <c r="K945" s="15" t="s">
        <v>22</v>
      </c>
    </row>
    <row r="946" spans="1:11" ht="42" customHeight="1">
      <c r="A946" s="4" t="s">
        <v>2419</v>
      </c>
      <c r="B946" s="5" t="s">
        <v>2420</v>
      </c>
      <c r="C946" s="5" t="s">
        <v>17</v>
      </c>
      <c r="D946" s="5" t="s">
        <v>18</v>
      </c>
      <c r="E946" s="5" t="s">
        <v>547</v>
      </c>
      <c r="F946" s="9">
        <v>68</v>
      </c>
      <c r="G946" s="9">
        <v>763</v>
      </c>
      <c r="H946" s="5" t="s">
        <v>20</v>
      </c>
      <c r="I946" s="5" t="s">
        <v>2422</v>
      </c>
      <c r="J946" s="12" t="str">
        <f>HYPERLINK("https://www.boe.es/gazeta/dias/1804/08/24/pdfs/GMD-1804-68.pdf#page=9","Abrir facsímil")</f>
        <v>Abrir facsímil</v>
      </c>
      <c r="K946" s="15" t="s">
        <v>22</v>
      </c>
    </row>
    <row r="947" spans="1:11" ht="42" customHeight="1">
      <c r="A947" s="4" t="s">
        <v>2423</v>
      </c>
      <c r="B947" s="5" t="s">
        <v>2424</v>
      </c>
      <c r="C947" s="5" t="s">
        <v>17</v>
      </c>
      <c r="D947" s="5" t="s">
        <v>18</v>
      </c>
      <c r="E947" s="5" t="s">
        <v>547</v>
      </c>
      <c r="F947" s="9">
        <v>68</v>
      </c>
      <c r="G947" s="9">
        <v>763</v>
      </c>
      <c r="H947" s="5" t="s">
        <v>20</v>
      </c>
      <c r="I947" s="5" t="s">
        <v>2425</v>
      </c>
      <c r="J947" s="12" t="str">
        <f>HYPERLINK("https://www.boe.es/gazeta/dias/1804/08/24/pdfs/GMD-1804-68.pdf#page=9","Abrir facsímil")</f>
        <v>Abrir facsímil</v>
      </c>
      <c r="K947" s="15" t="s">
        <v>22</v>
      </c>
    </row>
    <row r="948" spans="1:11" ht="42" customHeight="1">
      <c r="A948" s="4" t="s">
        <v>2426</v>
      </c>
      <c r="B948" s="5" t="s">
        <v>2427</v>
      </c>
      <c r="C948" s="5" t="s">
        <v>27</v>
      </c>
      <c r="D948" s="5" t="s">
        <v>28</v>
      </c>
      <c r="E948" s="5" t="s">
        <v>497</v>
      </c>
      <c r="F948" s="9">
        <v>25</v>
      </c>
      <c r="G948" s="9">
        <v>285</v>
      </c>
      <c r="H948" s="5" t="s">
        <v>20</v>
      </c>
      <c r="I948" s="5" t="s">
        <v>2428</v>
      </c>
      <c r="J948" s="12" t="str">
        <f>HYPERLINK("https://www.boe.es/gazeta/dias/1804/03/27/pdfs/GMD-1804-25.pdf#page=7","Abrir facsímil")</f>
        <v>Abrir facsímil</v>
      </c>
      <c r="K948" s="15" t="s">
        <v>22</v>
      </c>
    </row>
    <row r="949" spans="1:11" ht="42" customHeight="1">
      <c r="A949" s="4" t="s">
        <v>2429</v>
      </c>
      <c r="B949" s="5" t="s">
        <v>2429</v>
      </c>
      <c r="C949" s="5" t="s">
        <v>120</v>
      </c>
      <c r="D949" s="5" t="s">
        <v>121</v>
      </c>
      <c r="E949" s="5" t="s">
        <v>33</v>
      </c>
      <c r="F949" s="9">
        <v>48</v>
      </c>
      <c r="G949" s="9" t="s">
        <v>285</v>
      </c>
      <c r="H949" s="5" t="s">
        <v>20</v>
      </c>
      <c r="I949" s="5" t="s">
        <v>2430</v>
      </c>
      <c r="J949" s="12" t="str">
        <f>HYPERLINK("https://www.boe.es/gazeta/dias/1804/06/15/pdfs/GMD-C-1804-48.pdf#page=2","Abrir facsímil")</f>
        <v>Abrir facsímil</v>
      </c>
      <c r="K949" s="15" t="s">
        <v>22</v>
      </c>
    </row>
    <row r="950" spans="1:11" ht="42" customHeight="1">
      <c r="A950" s="4" t="s">
        <v>2431</v>
      </c>
      <c r="B950" s="5" t="s">
        <v>2432</v>
      </c>
      <c r="C950" s="5" t="s">
        <v>57</v>
      </c>
      <c r="D950" s="5" t="s">
        <v>58</v>
      </c>
      <c r="E950" s="5" t="s">
        <v>182</v>
      </c>
      <c r="F950" s="9">
        <v>21</v>
      </c>
      <c r="G950" s="9">
        <v>225</v>
      </c>
      <c r="H950" s="5" t="s">
        <v>20</v>
      </c>
      <c r="I950" s="5" t="s">
        <v>2433</v>
      </c>
      <c r="J950" s="12" t="str">
        <f>HYPERLINK("https://www.boe.es/gazeta/dias/1804/03/13/pdfs/GMD-1804-21.pdf#page=1","Abrir facsímil")</f>
        <v>Abrir facsímil</v>
      </c>
      <c r="K950" s="15" t="s">
        <v>22</v>
      </c>
    </row>
    <row r="951" spans="1:11" ht="42" customHeight="1">
      <c r="A951" s="4" t="s">
        <v>2434</v>
      </c>
      <c r="B951" s="5" t="s">
        <v>2435</v>
      </c>
      <c r="C951" s="5" t="s">
        <v>57</v>
      </c>
      <c r="D951" s="5" t="s">
        <v>58</v>
      </c>
      <c r="E951" s="5" t="s">
        <v>251</v>
      </c>
      <c r="F951" s="9">
        <v>79</v>
      </c>
      <c r="G951" s="9">
        <v>871</v>
      </c>
      <c r="H951" s="5" t="s">
        <v>20</v>
      </c>
      <c r="I951" s="5" t="s">
        <v>2436</v>
      </c>
      <c r="J951" s="12" t="str">
        <f>HYPERLINK("https://www.boe.es/gazeta/dias/1804/10/02/pdfs/GMD-1804-79.pdf#page=1","Abrir facsímil")</f>
        <v>Abrir facsímil</v>
      </c>
      <c r="K951" s="15" t="s">
        <v>22</v>
      </c>
    </row>
    <row r="952" spans="1:11" ht="42" customHeight="1">
      <c r="A952" s="4" t="s">
        <v>2434</v>
      </c>
      <c r="B952" s="5" t="s">
        <v>2435</v>
      </c>
      <c r="C952" s="5" t="s">
        <v>57</v>
      </c>
      <c r="D952" s="5" t="s">
        <v>58</v>
      </c>
      <c r="E952" s="5" t="s">
        <v>143</v>
      </c>
      <c r="F952" s="9">
        <v>87</v>
      </c>
      <c r="G952" s="9">
        <v>958</v>
      </c>
      <c r="H952" s="5" t="s">
        <v>20</v>
      </c>
      <c r="I952" s="5" t="s">
        <v>2437</v>
      </c>
      <c r="J952" s="12" t="str">
        <f>HYPERLINK("https://www.boe.es/gazeta/dias/1804/10/30/pdfs/GMD-1804-87.pdf#page=2","Abrir facsímil")</f>
        <v>Abrir facsímil</v>
      </c>
      <c r="K952" s="15" t="s">
        <v>22</v>
      </c>
    </row>
    <row r="953" spans="1:11" ht="42" customHeight="1">
      <c r="A953" s="4" t="s">
        <v>2434</v>
      </c>
      <c r="B953" s="5" t="s">
        <v>2435</v>
      </c>
      <c r="C953" s="5" t="s">
        <v>57</v>
      </c>
      <c r="D953" s="5" t="s">
        <v>58</v>
      </c>
      <c r="E953" s="5" t="s">
        <v>50</v>
      </c>
      <c r="F953" s="9">
        <v>93</v>
      </c>
      <c r="G953" s="9">
        <v>1025</v>
      </c>
      <c r="H953" s="5" t="s">
        <v>20</v>
      </c>
      <c r="I953" s="5" t="s">
        <v>2438</v>
      </c>
      <c r="J953" s="12" t="str">
        <f>HYPERLINK("https://www.boe.es/gazeta/dias/1804/11/20/pdfs/GMD-1804-93.pdf#page=1","Abrir facsímil")</f>
        <v>Abrir facsímil</v>
      </c>
      <c r="K953" s="15" t="s">
        <v>22</v>
      </c>
    </row>
    <row r="954" spans="1:11" ht="42" customHeight="1">
      <c r="A954" s="4" t="s">
        <v>2439</v>
      </c>
      <c r="B954" s="5" t="s">
        <v>2440</v>
      </c>
      <c r="C954" s="5" t="s">
        <v>17</v>
      </c>
      <c r="D954" s="5" t="s">
        <v>18</v>
      </c>
      <c r="E954" s="5" t="s">
        <v>71</v>
      </c>
      <c r="F954" s="9">
        <v>99</v>
      </c>
      <c r="G954" s="9">
        <v>1102</v>
      </c>
      <c r="H954" s="5" t="s">
        <v>20</v>
      </c>
      <c r="I954" s="5" t="s">
        <v>2441</v>
      </c>
      <c r="J954" s="12" t="str">
        <f>HYPERLINK("https://www.boe.es/gazeta/dias/1804/12/11/pdfs/GMD-1804-99.pdf#page=2","Abrir facsímil")</f>
        <v>Abrir facsímil</v>
      </c>
      <c r="K954" s="15" t="s">
        <v>22</v>
      </c>
    </row>
    <row r="955" spans="1:11" ht="42" customHeight="1">
      <c r="A955" s="4" t="s">
        <v>2442</v>
      </c>
      <c r="B955" s="5" t="s">
        <v>2442</v>
      </c>
      <c r="C955" s="5" t="s">
        <v>85</v>
      </c>
      <c r="D955" s="5" t="s">
        <v>86</v>
      </c>
      <c r="E955" s="5" t="s">
        <v>360</v>
      </c>
      <c r="F955" s="9">
        <v>81</v>
      </c>
      <c r="G955" s="9">
        <v>897</v>
      </c>
      <c r="H955" s="5" t="s">
        <v>20</v>
      </c>
      <c r="I955" s="5" t="s">
        <v>2443</v>
      </c>
      <c r="J955" s="12" t="str">
        <f>HYPERLINK("https://www.boe.es/gazeta/dias/1804/10/09/pdfs/GMD-1804-81.pdf#page=7","Abrir facsímil")</f>
        <v>Abrir facsímil</v>
      </c>
      <c r="K955" s="15" t="s">
        <v>22</v>
      </c>
    </row>
    <row r="956" spans="1:11" ht="42" customHeight="1">
      <c r="A956" s="4" t="s">
        <v>2442</v>
      </c>
      <c r="B956" s="5" t="s">
        <v>2442</v>
      </c>
      <c r="C956" s="5" t="s">
        <v>17</v>
      </c>
      <c r="D956" s="5" t="s">
        <v>18</v>
      </c>
      <c r="E956" s="5" t="s">
        <v>50</v>
      </c>
      <c r="F956" s="9">
        <v>93</v>
      </c>
      <c r="G956" s="9">
        <v>1031</v>
      </c>
      <c r="H956" s="5" t="s">
        <v>20</v>
      </c>
      <c r="I956" s="5" t="s">
        <v>2444</v>
      </c>
      <c r="J956" s="12" t="str">
        <f>HYPERLINK("https://www.boe.es/gazeta/dias/1804/11/20/pdfs/GMD-1804-93.pdf#page=7","Abrir facsímil")</f>
        <v>Abrir facsímil</v>
      </c>
      <c r="K956" s="15" t="s">
        <v>22</v>
      </c>
    </row>
    <row r="957" spans="1:11" ht="42" customHeight="1">
      <c r="A957" s="4" t="s">
        <v>2445</v>
      </c>
      <c r="B957" s="5" t="s">
        <v>2446</v>
      </c>
      <c r="C957" s="5" t="s">
        <v>65</v>
      </c>
      <c r="D957" s="5" t="s">
        <v>66</v>
      </c>
      <c r="E957" s="5" t="s">
        <v>43</v>
      </c>
      <c r="F957" s="9">
        <v>84</v>
      </c>
      <c r="G957" s="9">
        <v>924</v>
      </c>
      <c r="H957" s="5" t="s">
        <v>20</v>
      </c>
      <c r="I957" s="5" t="s">
        <v>2447</v>
      </c>
      <c r="J957" s="12" t="str">
        <f>HYPERLINK("https://www.boe.es/gazeta/dias/1804/10/19/pdfs/GMD-1804-84.pdf#page=2","Abrir facsímil")</f>
        <v>Abrir facsímil</v>
      </c>
      <c r="K957" s="15" t="s">
        <v>22</v>
      </c>
    </row>
    <row r="958" spans="1:11" ht="42" customHeight="1">
      <c r="A958" s="4" t="s">
        <v>2448</v>
      </c>
      <c r="B958" s="5" t="s">
        <v>2449</v>
      </c>
      <c r="C958" s="5" t="s">
        <v>65</v>
      </c>
      <c r="D958" s="5" t="s">
        <v>66</v>
      </c>
      <c r="E958" s="5" t="s">
        <v>19</v>
      </c>
      <c r="F958" s="9">
        <v>60</v>
      </c>
      <c r="G958" s="9">
        <v>669</v>
      </c>
      <c r="H958" s="5" t="s">
        <v>20</v>
      </c>
      <c r="I958" s="5" t="s">
        <v>2450</v>
      </c>
      <c r="J958" s="12" t="str">
        <f>HYPERLINK("https://www.boe.es/gazeta/dias/1804/07/27/pdfs/GMD-1804-60.pdf#page=11","Abrir facsímil")</f>
        <v>Abrir facsímil</v>
      </c>
      <c r="K958" s="15" t="s">
        <v>22</v>
      </c>
    </row>
    <row r="959" spans="1:11" ht="42" customHeight="1">
      <c r="A959" s="4" t="s">
        <v>2451</v>
      </c>
      <c r="B959" s="5" t="s">
        <v>2451</v>
      </c>
      <c r="C959" s="5" t="s">
        <v>65</v>
      </c>
      <c r="D959" s="5" t="s">
        <v>66</v>
      </c>
      <c r="E959" s="5" t="s">
        <v>67</v>
      </c>
      <c r="F959" s="9">
        <v>59</v>
      </c>
      <c r="G959" s="9">
        <v>656</v>
      </c>
      <c r="H959" s="5" t="s">
        <v>20</v>
      </c>
      <c r="I959" s="5" t="s">
        <v>2452</v>
      </c>
      <c r="J959" s="12" t="str">
        <f>HYPERLINK("https://www.boe.es/gazeta/dias/1804/07/24/pdfs/GMD-1804-59.pdf#page=10","Abrir facsímil")</f>
        <v>Abrir facsímil</v>
      </c>
      <c r="K959" s="15" t="s">
        <v>22</v>
      </c>
    </row>
    <row r="960" spans="1:11" ht="42" customHeight="1">
      <c r="A960" s="4" t="s">
        <v>2453</v>
      </c>
      <c r="B960" s="5" t="s">
        <v>2453</v>
      </c>
      <c r="C960" s="5" t="s">
        <v>198</v>
      </c>
      <c r="D960" s="5" t="s">
        <v>66</v>
      </c>
      <c r="E960" s="5" t="s">
        <v>47</v>
      </c>
      <c r="F960" s="9">
        <v>78</v>
      </c>
      <c r="G960" s="9">
        <v>869</v>
      </c>
      <c r="H960" s="5" t="s">
        <v>20</v>
      </c>
      <c r="I960" s="5" t="s">
        <v>2454</v>
      </c>
      <c r="J960" s="12" t="str">
        <f>HYPERLINK("https://www.boe.es/gazeta/dias/1804/09/28/pdfs/GMD-1804-78.pdf#page=7","Abrir facsímil")</f>
        <v>Abrir facsímil</v>
      </c>
      <c r="K960" s="15" t="s">
        <v>22</v>
      </c>
    </row>
    <row r="961" spans="1:11" ht="42" customHeight="1">
      <c r="A961" s="4" t="s">
        <v>2455</v>
      </c>
      <c r="B961" s="5" t="s">
        <v>2455</v>
      </c>
      <c r="C961" s="5" t="s">
        <v>198</v>
      </c>
      <c r="D961" s="5" t="s">
        <v>66</v>
      </c>
      <c r="E961" s="5" t="s">
        <v>245</v>
      </c>
      <c r="F961" s="9">
        <v>6</v>
      </c>
      <c r="G961" s="9">
        <v>59</v>
      </c>
      <c r="H961" s="5" t="s">
        <v>20</v>
      </c>
      <c r="I961" s="5" t="s">
        <v>2456</v>
      </c>
      <c r="J961" s="12" t="str">
        <f>HYPERLINK("https://www.boe.es/gazeta/dias/1804/01/20/pdfs/GMD-1804-6.pdf#page=11","Abrir facsímil")</f>
        <v>Abrir facsímil</v>
      </c>
      <c r="K961" s="15" t="s">
        <v>22</v>
      </c>
    </row>
    <row r="962" spans="1:11" ht="42" customHeight="1">
      <c r="A962" s="4" t="s">
        <v>2455</v>
      </c>
      <c r="B962" s="5" t="s">
        <v>2455</v>
      </c>
      <c r="C962" s="5" t="s">
        <v>27</v>
      </c>
      <c r="D962" s="5" t="s">
        <v>28</v>
      </c>
      <c r="E962" s="5" t="s">
        <v>151</v>
      </c>
      <c r="F962" s="9">
        <v>13</v>
      </c>
      <c r="G962" s="9">
        <v>142</v>
      </c>
      <c r="H962" s="5" t="s">
        <v>20</v>
      </c>
      <c r="I962" s="5" t="s">
        <v>2457</v>
      </c>
      <c r="J962" s="12" t="str">
        <f>HYPERLINK("https://www.boe.es/gazeta/dias/1804/02/14/pdfs/GMD-1804-13.pdf#page=6","Abrir facsímil")</f>
        <v>Abrir facsímil</v>
      </c>
      <c r="K962" s="15" t="s">
        <v>22</v>
      </c>
    </row>
    <row r="963" spans="1:11" ht="42" customHeight="1">
      <c r="A963" s="4" t="s">
        <v>2455</v>
      </c>
      <c r="B963" s="5" t="s">
        <v>2455</v>
      </c>
      <c r="C963" s="5" t="s">
        <v>27</v>
      </c>
      <c r="D963" s="5" t="s">
        <v>28</v>
      </c>
      <c r="E963" s="5" t="s">
        <v>378</v>
      </c>
      <c r="F963" s="9">
        <v>65</v>
      </c>
      <c r="G963" s="9">
        <v>733</v>
      </c>
      <c r="H963" s="5" t="s">
        <v>20</v>
      </c>
      <c r="I963" s="5" t="s">
        <v>2458</v>
      </c>
      <c r="J963" s="12" t="str">
        <f>HYPERLINK("https://www.boe.es/gazeta/dias/1804/08/14/pdfs/GMD-1804-65.pdf#page=11","Abrir facsímil")</f>
        <v>Abrir facsímil</v>
      </c>
      <c r="K963" s="15" t="s">
        <v>22</v>
      </c>
    </row>
    <row r="964" spans="1:11" ht="42" customHeight="1">
      <c r="A964" s="4" t="s">
        <v>2459</v>
      </c>
      <c r="B964" s="5" t="s">
        <v>2459</v>
      </c>
      <c r="C964" s="5" t="s">
        <v>27</v>
      </c>
      <c r="D964" s="5" t="s">
        <v>28</v>
      </c>
      <c r="E964" s="5" t="s">
        <v>19</v>
      </c>
      <c r="F964" s="9">
        <v>60</v>
      </c>
      <c r="G964" s="9">
        <v>665</v>
      </c>
      <c r="H964" s="5" t="s">
        <v>20</v>
      </c>
      <c r="I964" s="5" t="s">
        <v>2460</v>
      </c>
      <c r="J964" s="12" t="str">
        <f>HYPERLINK("https://www.boe.es/gazeta/dias/1804/07/27/pdfs/GMD-1804-60.pdf#page=7","Abrir facsímil")</f>
        <v>Abrir facsímil</v>
      </c>
      <c r="K964" s="15" t="s">
        <v>22</v>
      </c>
    </row>
    <row r="965" spans="1:11" ht="42" customHeight="1">
      <c r="A965" s="4" t="s">
        <v>2461</v>
      </c>
      <c r="B965" s="5" t="s">
        <v>2461</v>
      </c>
      <c r="C965" s="5" t="s">
        <v>27</v>
      </c>
      <c r="D965" s="5" t="s">
        <v>28</v>
      </c>
      <c r="E965" s="5" t="s">
        <v>140</v>
      </c>
      <c r="F965" s="9">
        <v>39</v>
      </c>
      <c r="G965" s="9">
        <v>435</v>
      </c>
      <c r="H965" s="5" t="s">
        <v>20</v>
      </c>
      <c r="I965" s="5" t="s">
        <v>2462</v>
      </c>
      <c r="J965" s="12" t="str">
        <f>HYPERLINK("https://www.boe.es/gazeta/dias/1804/05/15/pdfs/GMD-1804-39.pdf#page=9","Abrir facsímil")</f>
        <v>Abrir facsímil</v>
      </c>
      <c r="K965" s="15" t="s">
        <v>22</v>
      </c>
    </row>
    <row r="966" spans="1:11" ht="42" customHeight="1">
      <c r="A966" s="4" t="s">
        <v>2463</v>
      </c>
      <c r="B966" s="5" t="s">
        <v>2463</v>
      </c>
      <c r="C966" s="5" t="s">
        <v>27</v>
      </c>
      <c r="D966" s="5" t="s">
        <v>28</v>
      </c>
      <c r="E966" s="5" t="s">
        <v>1020</v>
      </c>
      <c r="F966" s="9">
        <v>103</v>
      </c>
      <c r="G966" s="9">
        <v>1147</v>
      </c>
      <c r="H966" s="5" t="s">
        <v>20</v>
      </c>
      <c r="I966" s="5" t="s">
        <v>2464</v>
      </c>
      <c r="J966" s="12" t="str">
        <f>HYPERLINK("https://www.boe.es/gazeta/dias/1804/12/25/pdfs/GMD-1804-103.pdf#page=7","Abrir facsímil")</f>
        <v>Abrir facsímil</v>
      </c>
      <c r="K966" s="15" t="s">
        <v>22</v>
      </c>
    </row>
    <row r="967" spans="1:11" ht="42" customHeight="1">
      <c r="A967" s="4" t="s">
        <v>2465</v>
      </c>
      <c r="B967" s="5" t="s">
        <v>2465</v>
      </c>
      <c r="C967" s="5" t="s">
        <v>65</v>
      </c>
      <c r="D967" s="5" t="s">
        <v>66</v>
      </c>
      <c r="E967" s="5" t="s">
        <v>466</v>
      </c>
      <c r="F967" s="9">
        <v>76</v>
      </c>
      <c r="G967" s="9">
        <v>847</v>
      </c>
      <c r="H967" s="5" t="s">
        <v>20</v>
      </c>
      <c r="I967" s="5" t="s">
        <v>2466</v>
      </c>
      <c r="J967" s="12" t="str">
        <f>HYPERLINK("https://www.boe.es/gazeta/dias/1804/09/21/pdfs/GMD-1804-76.pdf#page=5","Abrir facsímil")</f>
        <v>Abrir facsímil</v>
      </c>
      <c r="K967" s="15" t="s">
        <v>22</v>
      </c>
    </row>
    <row r="968" spans="1:11" ht="42" customHeight="1">
      <c r="A968" s="4" t="s">
        <v>2467</v>
      </c>
      <c r="B968" s="5" t="s">
        <v>2468</v>
      </c>
      <c r="C968" s="5" t="s">
        <v>27</v>
      </c>
      <c r="D968" s="5" t="s">
        <v>28</v>
      </c>
      <c r="E968" s="5" t="s">
        <v>484</v>
      </c>
      <c r="F968" s="9">
        <v>53</v>
      </c>
      <c r="G968" s="9">
        <v>591</v>
      </c>
      <c r="H968" s="5" t="s">
        <v>20</v>
      </c>
      <c r="I968" s="5" t="s">
        <v>2469</v>
      </c>
      <c r="J968" s="12" t="str">
        <f>HYPERLINK("https://www.boe.es/gazeta/dias/1804/07/03/pdfs/GMD-1804-53.pdf#page=9","Abrir facsímil")</f>
        <v>Abrir facsímil</v>
      </c>
      <c r="K968" s="15" t="s">
        <v>22</v>
      </c>
    </row>
    <row r="969" spans="1:11" ht="42" customHeight="1">
      <c r="A969" s="4" t="s">
        <v>2470</v>
      </c>
      <c r="B969" s="5" t="s">
        <v>2470</v>
      </c>
      <c r="C969" s="5" t="s">
        <v>120</v>
      </c>
      <c r="D969" s="5" t="s">
        <v>121</v>
      </c>
      <c r="E969" s="5" t="s">
        <v>33</v>
      </c>
      <c r="F969" s="9">
        <v>48</v>
      </c>
      <c r="G969" s="9" t="s">
        <v>98</v>
      </c>
      <c r="H969" s="5" t="s">
        <v>20</v>
      </c>
      <c r="I969" s="5" t="s">
        <v>2471</v>
      </c>
      <c r="J969" s="12" t="str">
        <f>HYPERLINK("https://www.boe.es/gazeta/dias/1804/06/15/pdfs/GMD-C-1804-48.pdf#page=1","Abrir facsímil")</f>
        <v>Abrir facsímil</v>
      </c>
      <c r="K969" s="15" t="s">
        <v>22</v>
      </c>
    </row>
    <row r="970" spans="1:11" ht="42" customHeight="1">
      <c r="A970" s="4" t="s">
        <v>2472</v>
      </c>
      <c r="B970" s="5" t="s">
        <v>2472</v>
      </c>
      <c r="C970" s="5" t="s">
        <v>65</v>
      </c>
      <c r="D970" s="5" t="s">
        <v>66</v>
      </c>
      <c r="E970" s="5" t="s">
        <v>29</v>
      </c>
      <c r="F970" s="9">
        <v>88</v>
      </c>
      <c r="G970" s="9">
        <v>977</v>
      </c>
      <c r="H970" s="5" t="s">
        <v>20</v>
      </c>
      <c r="I970" s="5" t="s">
        <v>2473</v>
      </c>
      <c r="J970" s="12" t="str">
        <f>HYPERLINK("https://www.boe.es/gazeta/dias/1804/11/02/pdfs/GMD-1804-88.pdf#page=9","Abrir facsímil")</f>
        <v>Abrir facsímil</v>
      </c>
      <c r="K970" s="15" t="s">
        <v>22</v>
      </c>
    </row>
    <row r="971" spans="1:11" ht="42" customHeight="1">
      <c r="A971" s="4" t="s">
        <v>2474</v>
      </c>
      <c r="B971" s="5" t="s">
        <v>2474</v>
      </c>
      <c r="C971" s="5" t="s">
        <v>198</v>
      </c>
      <c r="D971" s="5" t="s">
        <v>66</v>
      </c>
      <c r="E971" s="5" t="s">
        <v>87</v>
      </c>
      <c r="F971" s="9">
        <v>9</v>
      </c>
      <c r="G971" s="9">
        <v>98</v>
      </c>
      <c r="H971" s="5" t="s">
        <v>20</v>
      </c>
      <c r="I971" s="5" t="s">
        <v>2475</v>
      </c>
      <c r="J971" s="12" t="str">
        <f>HYPERLINK("https://www.boe.es/gazeta/dias/1804/01/31/pdfs/GMD-1804-9.pdf#page=10","Abrir facsímil")</f>
        <v>Abrir facsímil</v>
      </c>
      <c r="K971" s="15" t="s">
        <v>22</v>
      </c>
    </row>
    <row r="972" spans="1:11" ht="42" customHeight="1">
      <c r="A972" s="4" t="s">
        <v>2476</v>
      </c>
      <c r="B972" s="5" t="s">
        <v>2476</v>
      </c>
      <c r="C972" s="5" t="s">
        <v>120</v>
      </c>
      <c r="D972" s="5" t="s">
        <v>121</v>
      </c>
      <c r="E972" s="5" t="s">
        <v>33</v>
      </c>
      <c r="F972" s="9">
        <v>48</v>
      </c>
      <c r="G972" s="9" t="s">
        <v>285</v>
      </c>
      <c r="H972" s="5" t="s">
        <v>20</v>
      </c>
      <c r="I972" s="5" t="s">
        <v>2477</v>
      </c>
      <c r="J972" s="12" t="str">
        <f>HYPERLINK("https://www.boe.es/gazeta/dias/1804/06/15/pdfs/GMD-C-1804-48.pdf#page=2","Abrir facsímil")</f>
        <v>Abrir facsímil</v>
      </c>
      <c r="K972" s="15" t="s">
        <v>22</v>
      </c>
    </row>
    <row r="973" spans="1:11" ht="42" customHeight="1">
      <c r="A973" s="4" t="s">
        <v>2478</v>
      </c>
      <c r="B973" s="5" t="s">
        <v>2478</v>
      </c>
      <c r="C973" s="5" t="s">
        <v>27</v>
      </c>
      <c r="D973" s="5" t="s">
        <v>28</v>
      </c>
      <c r="E973" s="5" t="s">
        <v>81</v>
      </c>
      <c r="F973" s="9">
        <v>98</v>
      </c>
      <c r="G973" s="9">
        <v>1089</v>
      </c>
      <c r="H973" s="5" t="s">
        <v>20</v>
      </c>
      <c r="I973" s="5" t="s">
        <v>2479</v>
      </c>
      <c r="J973" s="12" t="str">
        <f>HYPERLINK("https://www.boe.es/gazeta/dias/1804/12/07/pdfs/GMD-1804-98.pdf#page=5","Abrir facsímil")</f>
        <v>Abrir facsímil</v>
      </c>
      <c r="K973" s="15" t="s">
        <v>22</v>
      </c>
    </row>
    <row r="974" spans="1:11" ht="42" customHeight="1">
      <c r="A974" s="4" t="s">
        <v>2480</v>
      </c>
      <c r="B974" s="5" t="s">
        <v>2480</v>
      </c>
      <c r="C974" s="5" t="s">
        <v>27</v>
      </c>
      <c r="D974" s="5" t="s">
        <v>28</v>
      </c>
      <c r="E974" s="5" t="s">
        <v>350</v>
      </c>
      <c r="F974" s="9">
        <v>19</v>
      </c>
      <c r="G974" s="9">
        <v>210</v>
      </c>
      <c r="H974" s="5" t="s">
        <v>20</v>
      </c>
      <c r="I974" s="5" t="s">
        <v>2481</v>
      </c>
      <c r="J974" s="12" t="str">
        <f>HYPERLINK("https://www.boe.es/gazeta/dias/1804/03/06/pdfs/GMD-1804-19.pdf#page=10","Abrir facsímil")</f>
        <v>Abrir facsímil</v>
      </c>
      <c r="K974" s="15" t="s">
        <v>22</v>
      </c>
    </row>
    <row r="975" spans="1:11" ht="42" customHeight="1">
      <c r="A975" s="4" t="s">
        <v>2482</v>
      </c>
      <c r="B975" s="5" t="s">
        <v>2482</v>
      </c>
      <c r="C975" s="5" t="s">
        <v>65</v>
      </c>
      <c r="D975" s="5" t="s">
        <v>66</v>
      </c>
      <c r="E975" s="5" t="s">
        <v>67</v>
      </c>
      <c r="F975" s="9">
        <v>59</v>
      </c>
      <c r="G975" s="9">
        <v>656</v>
      </c>
      <c r="H975" s="5" t="s">
        <v>20</v>
      </c>
      <c r="I975" s="5" t="s">
        <v>2483</v>
      </c>
      <c r="J975" s="12" t="str">
        <f>HYPERLINK("https://www.boe.es/gazeta/dias/1804/07/24/pdfs/GMD-1804-59.pdf#page=10","Abrir facsímil")</f>
        <v>Abrir facsímil</v>
      </c>
      <c r="K975" s="15" t="s">
        <v>22</v>
      </c>
    </row>
    <row r="976" spans="1:11" ht="42" customHeight="1">
      <c r="A976" s="4" t="s">
        <v>2484</v>
      </c>
      <c r="B976" s="5" t="s">
        <v>2484</v>
      </c>
      <c r="C976" s="5" t="s">
        <v>27</v>
      </c>
      <c r="D976" s="5" t="s">
        <v>28</v>
      </c>
      <c r="E976" s="5" t="s">
        <v>264</v>
      </c>
      <c r="F976" s="9">
        <v>49</v>
      </c>
      <c r="G976" s="9">
        <v>544</v>
      </c>
      <c r="H976" s="5" t="s">
        <v>20</v>
      </c>
      <c r="I976" s="5" t="s">
        <v>2485</v>
      </c>
      <c r="J976" s="12" t="str">
        <f>HYPERLINK("https://www.boe.es/gazeta/dias/1804/06/19/pdfs/GMD-1804-49.pdf#page=6","Abrir facsímil")</f>
        <v>Abrir facsímil</v>
      </c>
      <c r="K976" s="15" t="s">
        <v>22</v>
      </c>
    </row>
    <row r="977" spans="1:11" ht="42" customHeight="1">
      <c r="A977" s="4" t="s">
        <v>2484</v>
      </c>
      <c r="B977" s="5" t="s">
        <v>2484</v>
      </c>
      <c r="C977" s="5" t="s">
        <v>27</v>
      </c>
      <c r="D977" s="5" t="s">
        <v>28</v>
      </c>
      <c r="E977" s="5" t="s">
        <v>466</v>
      </c>
      <c r="F977" s="9">
        <v>76</v>
      </c>
      <c r="G977" s="9">
        <v>847</v>
      </c>
      <c r="H977" s="5" t="s">
        <v>20</v>
      </c>
      <c r="I977" s="5" t="s">
        <v>2486</v>
      </c>
      <c r="J977" s="12" t="str">
        <f>HYPERLINK("https://www.boe.es/gazeta/dias/1804/09/21/pdfs/GMD-1804-76.pdf#page=5","Abrir facsímil")</f>
        <v>Abrir facsímil</v>
      </c>
      <c r="K977" s="15" t="s">
        <v>22</v>
      </c>
    </row>
    <row r="978" spans="1:11" ht="42" customHeight="1">
      <c r="A978" s="4" t="s">
        <v>2487</v>
      </c>
      <c r="B978" s="5" t="s">
        <v>2488</v>
      </c>
      <c r="C978" s="5" t="s">
        <v>120</v>
      </c>
      <c r="D978" s="5" t="s">
        <v>121</v>
      </c>
      <c r="E978" s="5" t="s">
        <v>33</v>
      </c>
      <c r="F978" s="9">
        <v>48</v>
      </c>
      <c r="G978" s="9" t="s">
        <v>98</v>
      </c>
      <c r="H978" s="5" t="s">
        <v>20</v>
      </c>
      <c r="I978" s="5" t="s">
        <v>2489</v>
      </c>
      <c r="J978" s="12" t="str">
        <f>HYPERLINK("https://www.boe.es/gazeta/dias/1804/06/15/pdfs/GMD-C-1804-48.pdf#page=1","Abrir facsímil")</f>
        <v>Abrir facsímil</v>
      </c>
      <c r="K978" s="15" t="s">
        <v>22</v>
      </c>
    </row>
    <row r="979" spans="1:11" ht="42" customHeight="1">
      <c r="A979" s="4" t="s">
        <v>2490</v>
      </c>
      <c r="B979" s="5" t="s">
        <v>2491</v>
      </c>
      <c r="C979" s="5" t="s">
        <v>27</v>
      </c>
      <c r="D979" s="5" t="s">
        <v>28</v>
      </c>
      <c r="E979" s="5" t="s">
        <v>33</v>
      </c>
      <c r="F979" s="9">
        <v>48</v>
      </c>
      <c r="G979" s="9">
        <v>537</v>
      </c>
      <c r="H979" s="5" t="s">
        <v>20</v>
      </c>
      <c r="I979" s="5" t="s">
        <v>2492</v>
      </c>
      <c r="J979" s="12" t="str">
        <f>HYPERLINK("https://www.boe.es/gazeta/dias/1804/06/15/pdfs/GMD-1804-48.pdf#page=7","Abrir facsímil")</f>
        <v>Abrir facsímil</v>
      </c>
      <c r="K979" s="15" t="s">
        <v>22</v>
      </c>
    </row>
    <row r="980" spans="1:11" ht="42" customHeight="1">
      <c r="A980" s="4" t="s">
        <v>2493</v>
      </c>
      <c r="B980" s="5" t="s">
        <v>2494</v>
      </c>
      <c r="C980" s="5" t="s">
        <v>17</v>
      </c>
      <c r="D980" s="5" t="s">
        <v>18</v>
      </c>
      <c r="E980" s="5" t="s">
        <v>367</v>
      </c>
      <c r="F980" s="9">
        <v>64</v>
      </c>
      <c r="G980" s="9">
        <v>715</v>
      </c>
      <c r="H980" s="5" t="s">
        <v>20</v>
      </c>
      <c r="I980" s="5" t="s">
        <v>2495</v>
      </c>
      <c r="J980" s="12" t="str">
        <f>HYPERLINK("https://www.boe.es/gazeta/dias/1804/08/10/pdfs/GMD-1804-64.pdf#page=9","Abrir facsímil")</f>
        <v>Abrir facsímil</v>
      </c>
      <c r="K980" s="15" t="s">
        <v>22</v>
      </c>
    </row>
    <row r="981" spans="1:11" ht="42" customHeight="1">
      <c r="A981" s="4" t="s">
        <v>2496</v>
      </c>
      <c r="B981" s="5" t="s">
        <v>2497</v>
      </c>
      <c r="C981" s="5" t="s">
        <v>120</v>
      </c>
      <c r="D981" s="5" t="s">
        <v>121</v>
      </c>
      <c r="E981" s="5" t="s">
        <v>33</v>
      </c>
      <c r="F981" s="9">
        <v>48</v>
      </c>
      <c r="G981" s="9" t="s">
        <v>98</v>
      </c>
      <c r="H981" s="5" t="s">
        <v>20</v>
      </c>
      <c r="I981" s="5" t="s">
        <v>2498</v>
      </c>
      <c r="J981" s="12" t="str">
        <f>HYPERLINK("https://www.boe.es/gazeta/dias/1804/06/15/pdfs/GMD-C-1804-48.pdf#page=1","Abrir facsímil")</f>
        <v>Abrir facsímil</v>
      </c>
      <c r="K981" s="15" t="s">
        <v>22</v>
      </c>
    </row>
    <row r="982" spans="1:11" ht="42" customHeight="1">
      <c r="A982" s="4" t="s">
        <v>2499</v>
      </c>
      <c r="B982" s="5" t="s">
        <v>2500</v>
      </c>
      <c r="C982" s="5" t="s">
        <v>120</v>
      </c>
      <c r="D982" s="5" t="s">
        <v>121</v>
      </c>
      <c r="E982" s="5" t="s">
        <v>33</v>
      </c>
      <c r="F982" s="9">
        <v>48</v>
      </c>
      <c r="G982" s="9" t="s">
        <v>819</v>
      </c>
      <c r="H982" s="5" t="s">
        <v>20</v>
      </c>
      <c r="I982" s="5" t="s">
        <v>2501</v>
      </c>
      <c r="J982" s="12" t="str">
        <f>HYPERLINK("https://www.boe.es/gazeta/dias/1804/06/15/pdfs/GMD-C-1804-48.pdf#page=4","Abrir facsímil")</f>
        <v>Abrir facsímil</v>
      </c>
      <c r="K982" s="15" t="s">
        <v>22</v>
      </c>
    </row>
    <row r="983" spans="1:11" ht="42" customHeight="1">
      <c r="A983" s="4" t="s">
        <v>2502</v>
      </c>
      <c r="B983" s="5" t="s">
        <v>2503</v>
      </c>
      <c r="C983" s="5" t="s">
        <v>27</v>
      </c>
      <c r="D983" s="5" t="s">
        <v>28</v>
      </c>
      <c r="E983" s="5" t="s">
        <v>216</v>
      </c>
      <c r="F983" s="9">
        <v>67</v>
      </c>
      <c r="G983" s="9">
        <v>750</v>
      </c>
      <c r="H983" s="5" t="s">
        <v>20</v>
      </c>
      <c r="I983" s="5" t="s">
        <v>2504</v>
      </c>
      <c r="J983" s="12" t="str">
        <f>HYPERLINK("https://www.boe.es/gazeta/dias/1804/08/21/pdfs/GMD-1804-67.pdf#page=8","Abrir facsímil")</f>
        <v>Abrir facsímil</v>
      </c>
      <c r="K983" s="15" t="s">
        <v>22</v>
      </c>
    </row>
    <row r="984" spans="1:11" ht="42" customHeight="1">
      <c r="A984" s="4" t="s">
        <v>2505</v>
      </c>
      <c r="B984" s="5" t="s">
        <v>2506</v>
      </c>
      <c r="C984" s="5" t="s">
        <v>65</v>
      </c>
      <c r="D984" s="5" t="s">
        <v>66</v>
      </c>
      <c r="E984" s="5" t="s">
        <v>623</v>
      </c>
      <c r="F984" s="9">
        <v>51</v>
      </c>
      <c r="G984" s="9">
        <v>566</v>
      </c>
      <c r="H984" s="5" t="s">
        <v>20</v>
      </c>
      <c r="I984" s="5" t="s">
        <v>2507</v>
      </c>
      <c r="J984" s="12" t="str">
        <f>HYPERLINK("https://www.boe.es/gazeta/dias/1804/06/26/pdfs/GMD-1804-51.pdf#page=12","Abrir facsímil")</f>
        <v>Abrir facsímil</v>
      </c>
      <c r="K984" s="15" t="s">
        <v>22</v>
      </c>
    </row>
    <row r="985" spans="1:11" ht="42" customHeight="1">
      <c r="A985" s="4" t="s">
        <v>2508</v>
      </c>
      <c r="B985" s="5" t="s">
        <v>2509</v>
      </c>
      <c r="C985" s="5" t="s">
        <v>65</v>
      </c>
      <c r="D985" s="5" t="s">
        <v>66</v>
      </c>
      <c r="E985" s="5" t="s">
        <v>421</v>
      </c>
      <c r="F985" s="9">
        <v>47</v>
      </c>
      <c r="G985" s="9">
        <v>527</v>
      </c>
      <c r="H985" s="5" t="s">
        <v>20</v>
      </c>
      <c r="I985" s="5" t="s">
        <v>2510</v>
      </c>
      <c r="J985" s="12" t="str">
        <f>HYPERLINK("https://www.boe.es/gazeta/dias/1804/06/12/pdfs/GMD-1804-47.pdf#page=9","Abrir facsímil")</f>
        <v>Abrir facsímil</v>
      </c>
      <c r="K985" s="15" t="s">
        <v>22</v>
      </c>
    </row>
    <row r="986" spans="1:11" ht="42" customHeight="1">
      <c r="A986" s="4" t="s">
        <v>2508</v>
      </c>
      <c r="B986" s="5" t="s">
        <v>2509</v>
      </c>
      <c r="C986" s="5" t="s">
        <v>27</v>
      </c>
      <c r="D986" s="5" t="s">
        <v>28</v>
      </c>
      <c r="E986" s="5" t="s">
        <v>378</v>
      </c>
      <c r="F986" s="9">
        <v>65</v>
      </c>
      <c r="G986" s="9">
        <v>731</v>
      </c>
      <c r="H986" s="5" t="s">
        <v>20</v>
      </c>
      <c r="I986" s="5" t="s">
        <v>2511</v>
      </c>
      <c r="J986" s="12" t="str">
        <f>HYPERLINK("https://www.boe.es/gazeta/dias/1804/08/14/pdfs/GMD-1804-65.pdf#page=9","Abrir facsímil")</f>
        <v>Abrir facsímil</v>
      </c>
      <c r="K986" s="15" t="s">
        <v>22</v>
      </c>
    </row>
    <row r="987" spans="1:11" ht="42" customHeight="1">
      <c r="A987" s="4" t="s">
        <v>2512</v>
      </c>
      <c r="B987" s="5" t="s">
        <v>2512</v>
      </c>
      <c r="C987" s="5" t="s">
        <v>17</v>
      </c>
      <c r="D987" s="5" t="s">
        <v>18</v>
      </c>
      <c r="E987" s="5" t="s">
        <v>1179</v>
      </c>
      <c r="F987" s="9">
        <v>43</v>
      </c>
      <c r="G987" s="9">
        <v>479</v>
      </c>
      <c r="H987" s="5" t="s">
        <v>20</v>
      </c>
      <c r="I987" s="5" t="s">
        <v>2513</v>
      </c>
      <c r="J987" s="12" t="str">
        <f>HYPERLINK("https://www.boe.es/gazeta/dias/1804/05/29/pdfs/GMD-1804-43.pdf#page=5","Abrir facsímil")</f>
        <v>Abrir facsímil</v>
      </c>
      <c r="K987" s="15" t="s">
        <v>22</v>
      </c>
    </row>
    <row r="988" spans="1:11" ht="42" customHeight="1">
      <c r="A988" s="4" t="s">
        <v>2514</v>
      </c>
      <c r="B988" s="5" t="s">
        <v>2515</v>
      </c>
      <c r="C988" s="5" t="s">
        <v>57</v>
      </c>
      <c r="D988" s="5" t="s">
        <v>58</v>
      </c>
      <c r="E988" s="5" t="s">
        <v>19</v>
      </c>
      <c r="F988" s="9">
        <v>60</v>
      </c>
      <c r="G988" s="9">
        <v>661</v>
      </c>
      <c r="H988" s="5" t="s">
        <v>20</v>
      </c>
      <c r="I988" s="5" t="s">
        <v>2516</v>
      </c>
      <c r="J988" s="12" t="str">
        <f>HYPERLINK("https://www.boe.es/gazeta/dias/1804/07/27/pdfs/GMD-1804-60.pdf#page=3","Abrir facsímil")</f>
        <v>Abrir facsímil</v>
      </c>
      <c r="K988" s="15" t="s">
        <v>22</v>
      </c>
    </row>
    <row r="989" spans="1:11" ht="42" customHeight="1">
      <c r="A989" s="4" t="s">
        <v>2517</v>
      </c>
      <c r="B989" s="5" t="s">
        <v>2518</v>
      </c>
      <c r="C989" s="5" t="s">
        <v>27</v>
      </c>
      <c r="D989" s="5" t="s">
        <v>28</v>
      </c>
      <c r="E989" s="5" t="s">
        <v>208</v>
      </c>
      <c r="F989" s="9">
        <v>97</v>
      </c>
      <c r="G989" s="9">
        <v>1084</v>
      </c>
      <c r="H989" s="5" t="s">
        <v>20</v>
      </c>
      <c r="I989" s="5" t="s">
        <v>2519</v>
      </c>
      <c r="J989" s="12" t="str">
        <f>HYPERLINK("https://www.boe.es/gazeta/dias/1804/12/04/pdfs/GMD-1804-97.pdf#page=12","Abrir facsímil")</f>
        <v>Abrir facsímil</v>
      </c>
      <c r="K989" s="15" t="s">
        <v>22</v>
      </c>
    </row>
    <row r="990" spans="1:11" ht="42" customHeight="1">
      <c r="A990" s="4" t="s">
        <v>2520</v>
      </c>
      <c r="B990" s="5" t="s">
        <v>2521</v>
      </c>
      <c r="C990" s="5" t="s">
        <v>57</v>
      </c>
      <c r="D990" s="5" t="s">
        <v>58</v>
      </c>
      <c r="E990" s="5" t="s">
        <v>147</v>
      </c>
      <c r="F990" s="9">
        <v>77</v>
      </c>
      <c r="G990" s="9">
        <v>856</v>
      </c>
      <c r="H990" s="5" t="s">
        <v>20</v>
      </c>
      <c r="I990" s="5" t="s">
        <v>2522</v>
      </c>
      <c r="J990" s="12" t="str">
        <f>HYPERLINK("https://www.boe.es/gazeta/dias/1804/09/25/pdfs/GMD-1804-77.pdf#page=6","Abrir facsímil")</f>
        <v>Abrir facsímil</v>
      </c>
      <c r="K990" s="15" t="s">
        <v>22</v>
      </c>
    </row>
    <row r="991" spans="1:11" ht="42" customHeight="1">
      <c r="A991" s="4" t="s">
        <v>2523</v>
      </c>
      <c r="B991" s="5" t="s">
        <v>2524</v>
      </c>
      <c r="C991" s="5" t="s">
        <v>27</v>
      </c>
      <c r="D991" s="5" t="s">
        <v>28</v>
      </c>
      <c r="E991" s="5" t="s">
        <v>272</v>
      </c>
      <c r="F991" s="9">
        <v>30</v>
      </c>
      <c r="G991" s="9">
        <v>332</v>
      </c>
      <c r="H991" s="5" t="s">
        <v>20</v>
      </c>
      <c r="I991" s="5" t="s">
        <v>2525</v>
      </c>
      <c r="J991" s="12" t="str">
        <f>HYPERLINK("https://www.boe.es/gazeta/dias/1804/04/13/pdfs/GMD-1804-30.pdf#page=10","Abrir facsímil")</f>
        <v>Abrir facsímil</v>
      </c>
      <c r="K991" s="15" t="s">
        <v>22</v>
      </c>
    </row>
    <row r="992" spans="1:11" ht="42" customHeight="1">
      <c r="A992" s="4" t="s">
        <v>2526</v>
      </c>
      <c r="B992" s="5" t="s">
        <v>2526</v>
      </c>
      <c r="C992" s="5" t="s">
        <v>65</v>
      </c>
      <c r="D992" s="5" t="s">
        <v>66</v>
      </c>
      <c r="E992" s="5" t="s">
        <v>37</v>
      </c>
      <c r="F992" s="9">
        <v>29</v>
      </c>
      <c r="G992" s="9">
        <v>318</v>
      </c>
      <c r="H992" s="5" t="s">
        <v>20</v>
      </c>
      <c r="I992" s="5" t="s">
        <v>2527</v>
      </c>
      <c r="J992" s="12" t="str">
        <f>HYPERLINK("https://www.boe.es/gazeta/dias/1804/04/10/pdfs/GMD-1804-29.pdf#page=8","Abrir facsímil")</f>
        <v>Abrir facsímil</v>
      </c>
      <c r="K992" s="15" t="s">
        <v>22</v>
      </c>
    </row>
    <row r="993" spans="1:11" ht="42" customHeight="1">
      <c r="A993" s="4" t="s">
        <v>2528</v>
      </c>
      <c r="B993" s="5" t="s">
        <v>2529</v>
      </c>
      <c r="C993" s="5" t="s">
        <v>17</v>
      </c>
      <c r="D993" s="5" t="s">
        <v>18</v>
      </c>
      <c r="E993" s="5" t="s">
        <v>484</v>
      </c>
      <c r="F993" s="9">
        <v>53</v>
      </c>
      <c r="G993" s="9">
        <v>591</v>
      </c>
      <c r="H993" s="5" t="s">
        <v>20</v>
      </c>
      <c r="I993" s="5" t="s">
        <v>2530</v>
      </c>
      <c r="J993" s="12" t="str">
        <f>HYPERLINK("https://www.boe.es/gazeta/dias/1804/07/03/pdfs/GMD-1804-53.pdf#page=9","Abrir facsímil")</f>
        <v>Abrir facsímil</v>
      </c>
      <c r="K993" s="15" t="s">
        <v>22</v>
      </c>
    </row>
    <row r="994" spans="1:11" ht="42" customHeight="1">
      <c r="A994" s="4" t="s">
        <v>2531</v>
      </c>
      <c r="B994" s="5" t="s">
        <v>2532</v>
      </c>
      <c r="C994" s="5" t="s">
        <v>57</v>
      </c>
      <c r="D994" s="5" t="s">
        <v>58</v>
      </c>
      <c r="E994" s="5" t="s">
        <v>147</v>
      </c>
      <c r="F994" s="9">
        <v>77</v>
      </c>
      <c r="G994" s="9">
        <v>854</v>
      </c>
      <c r="H994" s="5" t="s">
        <v>20</v>
      </c>
      <c r="I994" s="5" t="s">
        <v>2533</v>
      </c>
      <c r="J994" s="12" t="str">
        <f>HYPERLINK("https://www.boe.es/gazeta/dias/1804/09/25/pdfs/GMD-1804-77.pdf#page=4","Abrir facsímil")</f>
        <v>Abrir facsímil</v>
      </c>
      <c r="K994" s="15" t="s">
        <v>22</v>
      </c>
    </row>
    <row r="995" spans="1:11" ht="42" customHeight="1">
      <c r="A995" s="4" t="s">
        <v>2531</v>
      </c>
      <c r="B995" s="5" t="s">
        <v>2532</v>
      </c>
      <c r="C995" s="5" t="s">
        <v>57</v>
      </c>
      <c r="D995" s="5" t="s">
        <v>58</v>
      </c>
      <c r="E995" s="5" t="s">
        <v>709</v>
      </c>
      <c r="F995" s="9">
        <v>82</v>
      </c>
      <c r="G995" s="9">
        <v>902</v>
      </c>
      <c r="H995" s="5" t="s">
        <v>20</v>
      </c>
      <c r="I995" s="5" t="s">
        <v>2534</v>
      </c>
      <c r="J995" s="12" t="str">
        <f>HYPERLINK("https://www.boe.es/gazeta/dias/1804/10/12/pdfs/GMD-1804-82.pdf#page=4","Abrir facsímil")</f>
        <v>Abrir facsímil</v>
      </c>
      <c r="K995" s="15" t="s">
        <v>22</v>
      </c>
    </row>
    <row r="996" spans="1:11" ht="42" customHeight="1">
      <c r="A996" s="4" t="s">
        <v>2531</v>
      </c>
      <c r="B996" s="5" t="s">
        <v>2532</v>
      </c>
      <c r="C996" s="5" t="s">
        <v>57</v>
      </c>
      <c r="D996" s="5" t="s">
        <v>58</v>
      </c>
      <c r="E996" s="5" t="s">
        <v>212</v>
      </c>
      <c r="F996" s="9">
        <v>89</v>
      </c>
      <c r="G996" s="9">
        <v>987</v>
      </c>
      <c r="H996" s="5" t="s">
        <v>20</v>
      </c>
      <c r="I996" s="5" t="s">
        <v>2535</v>
      </c>
      <c r="J996" s="12" t="str">
        <f>HYPERLINK("https://www.boe.es/gazeta/dias/1804/11/06/pdfs/GMD-1804-89.pdf#page=7","Abrir facsímil")</f>
        <v>Abrir facsímil</v>
      </c>
      <c r="K996" s="15" t="s">
        <v>22</v>
      </c>
    </row>
    <row r="997" spans="1:11" ht="42" customHeight="1">
      <c r="A997" s="4" t="s">
        <v>2531</v>
      </c>
      <c r="B997" s="5" t="s">
        <v>2532</v>
      </c>
      <c r="C997" s="5" t="s">
        <v>27</v>
      </c>
      <c r="D997" s="5" t="s">
        <v>28</v>
      </c>
      <c r="E997" s="5" t="s">
        <v>155</v>
      </c>
      <c r="F997" s="9">
        <v>92</v>
      </c>
      <c r="G997" s="9">
        <v>1016</v>
      </c>
      <c r="H997" s="5" t="s">
        <v>20</v>
      </c>
      <c r="I997" s="5" t="s">
        <v>2536</v>
      </c>
      <c r="J997" s="12" t="str">
        <f>HYPERLINK("https://www.boe.es/gazeta/dias/1804/11/16/pdfs/GMD-1804-92.pdf#page=4","Abrir facsímil")</f>
        <v>Abrir facsímil</v>
      </c>
      <c r="K997" s="15" t="s">
        <v>22</v>
      </c>
    </row>
    <row r="998" spans="1:11" ht="42" customHeight="1">
      <c r="A998" s="4" t="s">
        <v>2537</v>
      </c>
      <c r="B998" s="5" t="s">
        <v>2537</v>
      </c>
      <c r="C998" s="5" t="s">
        <v>27</v>
      </c>
      <c r="D998" s="5" t="s">
        <v>28</v>
      </c>
      <c r="E998" s="5" t="s">
        <v>103</v>
      </c>
      <c r="F998" s="9">
        <v>11</v>
      </c>
      <c r="G998" s="9">
        <v>119</v>
      </c>
      <c r="H998" s="5" t="s">
        <v>20</v>
      </c>
      <c r="I998" s="5" t="s">
        <v>2538</v>
      </c>
      <c r="J998" s="12" t="str">
        <f>HYPERLINK("https://www.boe.es/gazeta/dias/1804/02/07/pdfs/GMD-1804-11.pdf#page=7","Abrir facsímil")</f>
        <v>Abrir facsímil</v>
      </c>
      <c r="K998" s="15" t="s">
        <v>22</v>
      </c>
    </row>
    <row r="999" spans="1:11" ht="42" customHeight="1">
      <c r="A999" s="4" t="s">
        <v>2539</v>
      </c>
      <c r="B999" s="5" t="s">
        <v>2539</v>
      </c>
      <c r="C999" s="5" t="s">
        <v>17</v>
      </c>
      <c r="D999" s="5" t="s">
        <v>18</v>
      </c>
      <c r="E999" s="5" t="s">
        <v>298</v>
      </c>
      <c r="F999" s="9">
        <v>10</v>
      </c>
      <c r="G999" s="9">
        <v>111</v>
      </c>
      <c r="H999" s="5" t="s">
        <v>20</v>
      </c>
      <c r="I999" s="5" t="s">
        <v>2540</v>
      </c>
      <c r="J999" s="12" t="str">
        <f>HYPERLINK("https://www.boe.es/gazeta/dias/1804/02/03/pdfs/GMD-1804-10.pdf#page=11","Abrir facsímil")</f>
        <v>Abrir facsímil</v>
      </c>
      <c r="K999" s="15" t="s">
        <v>22</v>
      </c>
    </row>
    <row r="1000" spans="1:11" ht="42" customHeight="1">
      <c r="A1000" s="4" t="s">
        <v>2541</v>
      </c>
      <c r="B1000" s="5" t="s">
        <v>2541</v>
      </c>
      <c r="C1000" s="5" t="s">
        <v>17</v>
      </c>
      <c r="D1000" s="5" t="s">
        <v>18</v>
      </c>
      <c r="E1000" s="5" t="s">
        <v>623</v>
      </c>
      <c r="F1000" s="9">
        <v>51</v>
      </c>
      <c r="G1000" s="9">
        <v>565</v>
      </c>
      <c r="H1000" s="5" t="s">
        <v>20</v>
      </c>
      <c r="I1000" s="5" t="s">
        <v>2542</v>
      </c>
      <c r="J1000" s="12" t="str">
        <f>HYPERLINK("https://www.boe.es/gazeta/dias/1804/06/26/pdfs/GMD-1804-51.pdf#page=11","Abrir facsímil")</f>
        <v>Abrir facsímil</v>
      </c>
      <c r="K1000" s="15" t="s">
        <v>22</v>
      </c>
    </row>
    <row r="1001" spans="1:11" ht="42" customHeight="1">
      <c r="A1001" s="4" t="s">
        <v>2543</v>
      </c>
      <c r="B1001" s="5" t="s">
        <v>2544</v>
      </c>
      <c r="C1001" s="5" t="s">
        <v>198</v>
      </c>
      <c r="D1001" s="5" t="s">
        <v>66</v>
      </c>
      <c r="E1001" s="5" t="s">
        <v>1095</v>
      </c>
      <c r="F1001" s="9">
        <v>73</v>
      </c>
      <c r="G1001" s="9">
        <v>819</v>
      </c>
      <c r="H1001" s="5" t="s">
        <v>20</v>
      </c>
      <c r="I1001" s="5" t="s">
        <v>2545</v>
      </c>
      <c r="J1001" s="12" t="str">
        <f>HYPERLINK("https://www.boe.es/gazeta/dias/1804/09/11/pdfs/GMD-1804-73.pdf#page=9","Abrir facsímil")</f>
        <v>Abrir facsímil</v>
      </c>
      <c r="K1001" s="15" t="s">
        <v>22</v>
      </c>
    </row>
    <row r="1002" spans="1:11" ht="42" customHeight="1">
      <c r="A1002" s="4" t="s">
        <v>2546</v>
      </c>
      <c r="B1002" s="5" t="s">
        <v>2547</v>
      </c>
      <c r="C1002" s="5" t="s">
        <v>27</v>
      </c>
      <c r="D1002" s="5" t="s">
        <v>28</v>
      </c>
      <c r="E1002" s="5" t="s">
        <v>538</v>
      </c>
      <c r="F1002" s="9">
        <v>27</v>
      </c>
      <c r="G1002" s="9">
        <v>300</v>
      </c>
      <c r="H1002" s="5" t="s">
        <v>20</v>
      </c>
      <c r="I1002" s="5" t="s">
        <v>2548</v>
      </c>
      <c r="J1002" s="12" t="str">
        <f>HYPERLINK("https://www.boe.es/gazeta/dias/1804/04/03/pdfs/GMD-1804-27.pdf#page=6","Abrir facsímil")</f>
        <v>Abrir facsímil</v>
      </c>
      <c r="K1002" s="15" t="s">
        <v>22</v>
      </c>
    </row>
    <row r="1003" spans="1:11" ht="42" customHeight="1">
      <c r="A1003" s="4" t="s">
        <v>2549</v>
      </c>
      <c r="B1003" s="5" t="s">
        <v>2550</v>
      </c>
      <c r="C1003" s="5" t="s">
        <v>198</v>
      </c>
      <c r="D1003" s="5" t="s">
        <v>66</v>
      </c>
      <c r="E1003" s="5" t="s">
        <v>29</v>
      </c>
      <c r="F1003" s="9">
        <v>88</v>
      </c>
      <c r="G1003" s="9">
        <v>977</v>
      </c>
      <c r="H1003" s="5" t="s">
        <v>20</v>
      </c>
      <c r="I1003" s="5" t="s">
        <v>2551</v>
      </c>
      <c r="J1003" s="12" t="str">
        <f>HYPERLINK("https://www.boe.es/gazeta/dias/1804/11/02/pdfs/GMD-1804-88.pdf#page=9","Abrir facsímil")</f>
        <v>Abrir facsímil</v>
      </c>
      <c r="K1003" s="15" t="s">
        <v>22</v>
      </c>
    </row>
    <row r="1004" spans="1:11" ht="42" customHeight="1">
      <c r="A1004" s="4" t="s">
        <v>2552</v>
      </c>
      <c r="B1004" s="5" t="s">
        <v>2553</v>
      </c>
      <c r="C1004" s="5" t="s">
        <v>27</v>
      </c>
      <c r="D1004" s="5" t="s">
        <v>28</v>
      </c>
      <c r="E1004" s="5" t="s">
        <v>666</v>
      </c>
      <c r="F1004" s="9">
        <v>57</v>
      </c>
      <c r="G1004" s="9">
        <v>632</v>
      </c>
      <c r="H1004" s="5" t="s">
        <v>20</v>
      </c>
      <c r="I1004" s="5" t="s">
        <v>2554</v>
      </c>
      <c r="J1004" s="12" t="str">
        <f>HYPERLINK("https://www.boe.es/gazeta/dias/1804/07/17/pdfs/GMD-1804-57.pdf#page=10","Abrir facsímil")</f>
        <v>Abrir facsímil</v>
      </c>
      <c r="K1004" s="15" t="s">
        <v>22</v>
      </c>
    </row>
    <row r="1005" spans="1:11" ht="42" customHeight="1">
      <c r="A1005" s="4" t="s">
        <v>2555</v>
      </c>
      <c r="B1005" s="5" t="s">
        <v>2556</v>
      </c>
      <c r="C1005" s="5" t="s">
        <v>17</v>
      </c>
      <c r="D1005" s="5" t="s">
        <v>18</v>
      </c>
      <c r="E1005" s="5" t="s">
        <v>216</v>
      </c>
      <c r="F1005" s="9">
        <v>67</v>
      </c>
      <c r="G1005" s="9">
        <v>750</v>
      </c>
      <c r="H1005" s="5" t="s">
        <v>20</v>
      </c>
      <c r="I1005" s="5" t="s">
        <v>2557</v>
      </c>
      <c r="J1005" s="12" t="str">
        <f>HYPERLINK("https://www.boe.es/gazeta/dias/1804/08/21/pdfs/GMD-1804-67.pdf#page=8","Abrir facsímil")</f>
        <v>Abrir facsímil</v>
      </c>
      <c r="K1005" s="15" t="s">
        <v>22</v>
      </c>
    </row>
    <row r="1006" spans="1:11" ht="42" customHeight="1">
      <c r="A1006" s="4" t="s">
        <v>2558</v>
      </c>
      <c r="B1006" s="5" t="s">
        <v>2559</v>
      </c>
      <c r="C1006" s="5" t="s">
        <v>27</v>
      </c>
      <c r="D1006" s="5" t="s">
        <v>28</v>
      </c>
      <c r="E1006" s="5" t="s">
        <v>699</v>
      </c>
      <c r="F1006" s="9">
        <v>2</v>
      </c>
      <c r="G1006" s="9">
        <v>18</v>
      </c>
      <c r="H1006" s="5" t="s">
        <v>20</v>
      </c>
      <c r="I1006" s="5" t="s">
        <v>2560</v>
      </c>
      <c r="J1006" s="12" t="str">
        <f>HYPERLINK("https://www.boe.es/gazeta/dias/1804/01/06/pdfs/GMD-1804-2.pdf#page=6","Abrir facsímil")</f>
        <v>Abrir facsímil</v>
      </c>
      <c r="K1006" s="15" t="s">
        <v>22</v>
      </c>
    </row>
    <row r="1007" spans="1:11" ht="42" customHeight="1">
      <c r="A1007" s="4" t="s">
        <v>2561</v>
      </c>
      <c r="B1007" s="5" t="s">
        <v>2561</v>
      </c>
      <c r="C1007" s="5" t="s">
        <v>57</v>
      </c>
      <c r="D1007" s="5" t="s">
        <v>58</v>
      </c>
      <c r="E1007" s="5" t="s">
        <v>59</v>
      </c>
      <c r="F1007" s="9">
        <v>55</v>
      </c>
      <c r="G1007" s="9">
        <v>609</v>
      </c>
      <c r="H1007" s="5" t="s">
        <v>20</v>
      </c>
      <c r="I1007" s="5" t="s">
        <v>2562</v>
      </c>
      <c r="J1007" s="12" t="str">
        <f>HYPERLINK("https://www.boe.es/gazeta/dias/1804/07/10/pdfs/GMD-1804-55.pdf#page=7","Abrir facsímil")</f>
        <v>Abrir facsímil</v>
      </c>
      <c r="K1007" s="15" t="s">
        <v>22</v>
      </c>
    </row>
    <row r="1008" spans="1:11" ht="42" customHeight="1">
      <c r="A1008" s="4" t="s">
        <v>2563</v>
      </c>
      <c r="B1008" s="5" t="s">
        <v>2564</v>
      </c>
      <c r="C1008" s="5" t="s">
        <v>17</v>
      </c>
      <c r="D1008" s="5" t="s">
        <v>18</v>
      </c>
      <c r="E1008" s="5" t="s">
        <v>143</v>
      </c>
      <c r="F1008" s="9">
        <v>87</v>
      </c>
      <c r="G1008" s="9">
        <v>965</v>
      </c>
      <c r="H1008" s="5" t="s">
        <v>20</v>
      </c>
      <c r="I1008" s="5" t="s">
        <v>2565</v>
      </c>
      <c r="J1008" s="12" t="str">
        <f>HYPERLINK("https://www.boe.es/gazeta/dias/1804/10/30/pdfs/GMD-1804-87.pdf#page=9","Abrir facsímil")</f>
        <v>Abrir facsímil</v>
      </c>
      <c r="K1008" s="15" t="s">
        <v>22</v>
      </c>
    </row>
    <row r="1009" spans="1:11" ht="42" customHeight="1">
      <c r="A1009" s="4" t="s">
        <v>2566</v>
      </c>
      <c r="B1009" s="5" t="s">
        <v>2567</v>
      </c>
      <c r="C1009" s="5" t="s">
        <v>17</v>
      </c>
      <c r="D1009" s="5" t="s">
        <v>18</v>
      </c>
      <c r="E1009" s="5" t="s">
        <v>421</v>
      </c>
      <c r="F1009" s="9">
        <v>47</v>
      </c>
      <c r="G1009" s="9">
        <v>528</v>
      </c>
      <c r="H1009" s="5" t="s">
        <v>20</v>
      </c>
      <c r="I1009" s="5" t="s">
        <v>2568</v>
      </c>
      <c r="J1009" s="12" t="str">
        <f>HYPERLINK("https://www.boe.es/gazeta/dias/1804/06/12/pdfs/GMD-1804-47.pdf#page=10","Abrir facsímil")</f>
        <v>Abrir facsímil</v>
      </c>
      <c r="K1009" s="15" t="s">
        <v>22</v>
      </c>
    </row>
    <row r="1010" spans="1:11" ht="42" customHeight="1">
      <c r="A1010" s="4" t="s">
        <v>2569</v>
      </c>
      <c r="B1010" s="5" t="s">
        <v>2570</v>
      </c>
      <c r="C1010" s="5" t="s">
        <v>17</v>
      </c>
      <c r="D1010" s="5" t="s">
        <v>18</v>
      </c>
      <c r="E1010" s="5" t="s">
        <v>143</v>
      </c>
      <c r="F1010" s="9">
        <v>87</v>
      </c>
      <c r="G1010" s="9">
        <v>960</v>
      </c>
      <c r="H1010" s="5" t="s">
        <v>20</v>
      </c>
      <c r="I1010" s="5" t="s">
        <v>2571</v>
      </c>
      <c r="J1010" s="12" t="str">
        <f>HYPERLINK("https://www.boe.es/gazeta/dias/1804/10/30/pdfs/GMD-1804-87.pdf#page=4","Abrir facsímil")</f>
        <v>Abrir facsímil</v>
      </c>
      <c r="K1010" s="15" t="s">
        <v>22</v>
      </c>
    </row>
    <row r="1011" spans="1:11" ht="42" customHeight="1">
      <c r="A1011" s="4" t="s">
        <v>2572</v>
      </c>
      <c r="B1011" s="5" t="s">
        <v>2573</v>
      </c>
      <c r="C1011" s="5" t="s">
        <v>17</v>
      </c>
      <c r="D1011" s="5" t="s">
        <v>18</v>
      </c>
      <c r="E1011" s="5" t="s">
        <v>71</v>
      </c>
      <c r="F1011" s="9">
        <v>99</v>
      </c>
      <c r="G1011" s="9">
        <v>1106</v>
      </c>
      <c r="H1011" s="5" t="s">
        <v>20</v>
      </c>
      <c r="I1011" s="5" t="s">
        <v>2574</v>
      </c>
      <c r="J1011" s="12" t="str">
        <f>HYPERLINK("https://www.boe.es/gazeta/dias/1804/12/11/pdfs/GMD-1804-99.pdf#page=6","Abrir facsímil")</f>
        <v>Abrir facsímil</v>
      </c>
      <c r="K1011" s="15" t="s">
        <v>22</v>
      </c>
    </row>
    <row r="1012" spans="1:11" ht="42" customHeight="1">
      <c r="A1012" s="4" t="s">
        <v>2575</v>
      </c>
      <c r="B1012" s="5" t="s">
        <v>2576</v>
      </c>
      <c r="C1012" s="5" t="s">
        <v>65</v>
      </c>
      <c r="D1012" s="5" t="s">
        <v>66</v>
      </c>
      <c r="E1012" s="5" t="s">
        <v>109</v>
      </c>
      <c r="F1012" s="9">
        <v>35</v>
      </c>
      <c r="G1012" s="9">
        <v>387</v>
      </c>
      <c r="H1012" s="5" t="s">
        <v>20</v>
      </c>
      <c r="I1012" s="5" t="s">
        <v>2577</v>
      </c>
      <c r="J1012" s="12" t="str">
        <f>HYPERLINK("https://www.boe.es/gazeta/dias/1804/05/01/pdfs/GMD-1804-35.pdf#page=9","Abrir facsímil")</f>
        <v>Abrir facsímil</v>
      </c>
      <c r="K1012" s="15" t="s">
        <v>22</v>
      </c>
    </row>
    <row r="1013" spans="1:11" ht="42" customHeight="1">
      <c r="A1013" s="4" t="s">
        <v>2578</v>
      </c>
      <c r="B1013" s="5" t="s">
        <v>2579</v>
      </c>
      <c r="C1013" s="5" t="s">
        <v>65</v>
      </c>
      <c r="D1013" s="5" t="s">
        <v>66</v>
      </c>
      <c r="E1013" s="5" t="s">
        <v>178</v>
      </c>
      <c r="F1013" s="9">
        <v>20</v>
      </c>
      <c r="G1013" s="9">
        <v>220</v>
      </c>
      <c r="H1013" s="5" t="s">
        <v>20</v>
      </c>
      <c r="I1013" s="5" t="s">
        <v>2580</v>
      </c>
      <c r="J1013" s="12" t="str">
        <f>HYPERLINK("https://www.boe.es/gazeta/dias/1804/03/09/pdfs/GMD-1804-20.pdf#page=8","Abrir facsímil")</f>
        <v>Abrir facsímil</v>
      </c>
      <c r="K1013" s="15" t="s">
        <v>22</v>
      </c>
    </row>
    <row r="1014" spans="1:11" ht="42" customHeight="1">
      <c r="A1014" s="4" t="s">
        <v>2581</v>
      </c>
      <c r="B1014" s="5" t="s">
        <v>2582</v>
      </c>
      <c r="C1014" s="5" t="s">
        <v>65</v>
      </c>
      <c r="D1014" s="5" t="s">
        <v>66</v>
      </c>
      <c r="E1014" s="5" t="s">
        <v>216</v>
      </c>
      <c r="F1014" s="9">
        <v>67</v>
      </c>
      <c r="G1014" s="9">
        <v>753</v>
      </c>
      <c r="H1014" s="5" t="s">
        <v>20</v>
      </c>
      <c r="I1014" s="5" t="s">
        <v>2583</v>
      </c>
      <c r="J1014" s="12" t="str">
        <f>HYPERLINK("https://www.boe.es/gazeta/dias/1804/08/21/pdfs/GMD-1804-67.pdf#page=11","Abrir facsímil")</f>
        <v>Abrir facsímil</v>
      </c>
      <c r="K1014" s="15" t="s">
        <v>22</v>
      </c>
    </row>
    <row r="1015" spans="1:11" ht="42" customHeight="1">
      <c r="A1015" s="4" t="s">
        <v>2584</v>
      </c>
      <c r="B1015" s="5" t="s">
        <v>2585</v>
      </c>
      <c r="C1015" s="5" t="s">
        <v>27</v>
      </c>
      <c r="D1015" s="5" t="s">
        <v>28</v>
      </c>
      <c r="E1015" s="5" t="s">
        <v>308</v>
      </c>
      <c r="F1015" s="9">
        <v>96</v>
      </c>
      <c r="G1015" s="9">
        <v>1066</v>
      </c>
      <c r="H1015" s="5" t="s">
        <v>20</v>
      </c>
      <c r="I1015" s="5" t="s">
        <v>2586</v>
      </c>
      <c r="J1015" s="12" t="str">
        <f>HYPERLINK("https://www.boe.es/gazeta/dias/1804/11/30/pdfs/GMD-1804-96.pdf#page=6","Abrir facsímil")</f>
        <v>Abrir facsímil</v>
      </c>
      <c r="K1015" s="15" t="s">
        <v>22</v>
      </c>
    </row>
    <row r="1016" spans="1:11" ht="42" customHeight="1">
      <c r="A1016" s="4" t="s">
        <v>2587</v>
      </c>
      <c r="B1016" s="5" t="s">
        <v>2588</v>
      </c>
      <c r="C1016" s="5" t="s">
        <v>27</v>
      </c>
      <c r="D1016" s="5" t="s">
        <v>28</v>
      </c>
      <c r="E1016" s="5" t="s">
        <v>143</v>
      </c>
      <c r="F1016" s="9">
        <v>87</v>
      </c>
      <c r="G1016" s="9">
        <v>963</v>
      </c>
      <c r="H1016" s="5" t="s">
        <v>20</v>
      </c>
      <c r="I1016" s="5" t="s">
        <v>2589</v>
      </c>
      <c r="J1016" s="12" t="str">
        <f>HYPERLINK("https://www.boe.es/gazeta/dias/1804/10/30/pdfs/GMD-1804-87.pdf#page=7","Abrir facsímil")</f>
        <v>Abrir facsímil</v>
      </c>
      <c r="K1016" s="15" t="s">
        <v>22</v>
      </c>
    </row>
    <row r="1017" spans="1:11" ht="42" customHeight="1">
      <c r="A1017" s="4" t="s">
        <v>2590</v>
      </c>
      <c r="B1017" s="5" t="s">
        <v>2591</v>
      </c>
      <c r="C1017" s="5" t="s">
        <v>27</v>
      </c>
      <c r="D1017" s="5" t="s">
        <v>28</v>
      </c>
      <c r="E1017" s="5" t="s">
        <v>245</v>
      </c>
      <c r="F1017" s="9">
        <v>6</v>
      </c>
      <c r="G1017" s="9">
        <v>58</v>
      </c>
      <c r="H1017" s="5" t="s">
        <v>20</v>
      </c>
      <c r="I1017" s="5" t="s">
        <v>2592</v>
      </c>
      <c r="J1017" s="12" t="str">
        <f>HYPERLINK("https://www.boe.es/gazeta/dias/1804/01/20/pdfs/GMD-1804-6.pdf#page=10","Abrir facsímil")</f>
        <v>Abrir facsímil</v>
      </c>
      <c r="K1017" s="15" t="s">
        <v>22</v>
      </c>
    </row>
    <row r="1018" spans="1:11" ht="42" customHeight="1">
      <c r="A1018" s="4" t="s">
        <v>2593</v>
      </c>
      <c r="B1018" s="5" t="s">
        <v>2594</v>
      </c>
      <c r="C1018" s="5" t="s">
        <v>27</v>
      </c>
      <c r="D1018" s="5" t="s">
        <v>28</v>
      </c>
      <c r="E1018" s="5" t="s">
        <v>950</v>
      </c>
      <c r="F1018" s="9">
        <v>90</v>
      </c>
      <c r="G1018" s="9">
        <v>999</v>
      </c>
      <c r="H1018" s="5" t="s">
        <v>20</v>
      </c>
      <c r="I1018" s="5" t="s">
        <v>2595</v>
      </c>
      <c r="J1018" s="12" t="str">
        <f>HYPERLINK("https://www.boe.es/gazeta/dias/1804/11/09/pdfs/GMD-1804-90.pdf#page=7","Abrir facsímil")</f>
        <v>Abrir facsímil</v>
      </c>
      <c r="K1018" s="15" t="s">
        <v>22</v>
      </c>
    </row>
    <row r="1019" spans="1:11" ht="42" customHeight="1">
      <c r="A1019" s="4" t="s">
        <v>2596</v>
      </c>
      <c r="B1019" s="5" t="s">
        <v>2597</v>
      </c>
      <c r="C1019" s="5" t="s">
        <v>17</v>
      </c>
      <c r="D1019" s="5" t="s">
        <v>18</v>
      </c>
      <c r="E1019" s="5" t="s">
        <v>71</v>
      </c>
      <c r="F1019" s="9">
        <v>99</v>
      </c>
      <c r="G1019" s="9">
        <v>1107</v>
      </c>
      <c r="H1019" s="5" t="s">
        <v>20</v>
      </c>
      <c r="I1019" s="5" t="s">
        <v>2598</v>
      </c>
      <c r="J1019" s="12" t="str">
        <f>HYPERLINK("https://www.boe.es/gazeta/dias/1804/12/11/pdfs/GMD-1804-99.pdf#page=7","Abrir facsímil")</f>
        <v>Abrir facsímil</v>
      </c>
      <c r="K1019" s="15" t="s">
        <v>22</v>
      </c>
    </row>
    <row r="1020" spans="1:11" ht="42" customHeight="1">
      <c r="A1020" s="4" t="s">
        <v>2599</v>
      </c>
      <c r="B1020" s="5" t="s">
        <v>2600</v>
      </c>
      <c r="C1020" s="5" t="s">
        <v>65</v>
      </c>
      <c r="D1020" s="5" t="s">
        <v>66</v>
      </c>
      <c r="E1020" s="5" t="s">
        <v>61</v>
      </c>
      <c r="F1020" s="9">
        <v>61</v>
      </c>
      <c r="G1020" s="9">
        <v>676</v>
      </c>
      <c r="H1020" s="5" t="s">
        <v>20</v>
      </c>
      <c r="I1020" s="5" t="s">
        <v>2601</v>
      </c>
      <c r="J1020" s="12" t="str">
        <f>HYPERLINK("https://www.boe.es/gazeta/dias/1804/07/31/pdfs/GMD-1804-61.pdf#page=6","Abrir facsímil")</f>
        <v>Abrir facsímil</v>
      </c>
      <c r="K1020" s="15" t="s">
        <v>22</v>
      </c>
    </row>
    <row r="1021" spans="1:11" ht="42" customHeight="1">
      <c r="A1021" s="4" t="s">
        <v>2602</v>
      </c>
      <c r="B1021" s="5" t="s">
        <v>2603</v>
      </c>
      <c r="C1021" s="5" t="s">
        <v>27</v>
      </c>
      <c r="D1021" s="5" t="s">
        <v>28</v>
      </c>
      <c r="E1021" s="5" t="s">
        <v>61</v>
      </c>
      <c r="F1021" s="9">
        <v>61</v>
      </c>
      <c r="G1021" s="9">
        <v>677</v>
      </c>
      <c r="H1021" s="5" t="s">
        <v>20</v>
      </c>
      <c r="I1021" s="5" t="s">
        <v>2604</v>
      </c>
      <c r="J1021" s="12" t="str">
        <f>HYPERLINK("https://www.boe.es/gazeta/dias/1804/07/31/pdfs/GMD-1804-61.pdf#page=7","Abrir facsímil")</f>
        <v>Abrir facsímil</v>
      </c>
      <c r="K1021" s="15" t="s">
        <v>22</v>
      </c>
    </row>
    <row r="1022" spans="1:11" ht="42" customHeight="1">
      <c r="A1022" s="4" t="s">
        <v>2605</v>
      </c>
      <c r="B1022" s="5" t="s">
        <v>2606</v>
      </c>
      <c r="C1022" s="5" t="s">
        <v>198</v>
      </c>
      <c r="D1022" s="5" t="s">
        <v>66</v>
      </c>
      <c r="E1022" s="5" t="s">
        <v>308</v>
      </c>
      <c r="F1022" s="9">
        <v>96</v>
      </c>
      <c r="G1022" s="9">
        <v>1070</v>
      </c>
      <c r="H1022" s="5" t="s">
        <v>20</v>
      </c>
      <c r="I1022" s="5" t="s">
        <v>2607</v>
      </c>
      <c r="J1022" s="12" t="str">
        <f>HYPERLINK("https://www.boe.es/gazeta/dias/1804/11/30/pdfs/GMD-1804-96.pdf#page=10","Abrir facsímil")</f>
        <v>Abrir facsímil</v>
      </c>
      <c r="K1022" s="15" t="s">
        <v>22</v>
      </c>
    </row>
    <row r="1023" spans="1:11" ht="42" customHeight="1">
      <c r="A1023" s="4" t="s">
        <v>2608</v>
      </c>
      <c r="B1023" s="5" t="s">
        <v>2609</v>
      </c>
      <c r="C1023" s="5" t="s">
        <v>27</v>
      </c>
      <c r="D1023" s="5" t="s">
        <v>28</v>
      </c>
      <c r="E1023" s="5" t="s">
        <v>466</v>
      </c>
      <c r="F1023" s="9">
        <v>76</v>
      </c>
      <c r="G1023" s="9">
        <v>846</v>
      </c>
      <c r="H1023" s="5" t="s">
        <v>20</v>
      </c>
      <c r="I1023" s="5" t="s">
        <v>2610</v>
      </c>
      <c r="J1023" s="12" t="str">
        <f>HYPERLINK("https://www.boe.es/gazeta/dias/1804/09/21/pdfs/GMD-1804-76.pdf#page=4","Abrir facsímil")</f>
        <v>Abrir facsímil</v>
      </c>
      <c r="K1023" s="15" t="s">
        <v>22</v>
      </c>
    </row>
    <row r="1024" spans="1:11" ht="42" customHeight="1">
      <c r="A1024" s="4" t="s">
        <v>2611</v>
      </c>
      <c r="B1024" s="5" t="s">
        <v>2612</v>
      </c>
      <c r="C1024" s="5" t="s">
        <v>57</v>
      </c>
      <c r="D1024" s="5" t="s">
        <v>58</v>
      </c>
      <c r="E1024" s="5" t="s">
        <v>241</v>
      </c>
      <c r="F1024" s="9">
        <v>71</v>
      </c>
      <c r="G1024" s="9">
        <v>788</v>
      </c>
      <c r="H1024" s="5" t="s">
        <v>20</v>
      </c>
      <c r="I1024" s="5" t="s">
        <v>2613</v>
      </c>
      <c r="J1024" s="12" t="str">
        <f>HYPERLINK("https://www.boe.es/gazeta/dias/1804/09/04/pdfs/GMD-1804-71.pdf#page=2","Abrir facsímil")</f>
        <v>Abrir facsímil</v>
      </c>
      <c r="K1024" s="15" t="s">
        <v>22</v>
      </c>
    </row>
    <row r="1025" spans="1:11" ht="42" customHeight="1">
      <c r="A1025" s="4" t="s">
        <v>2614</v>
      </c>
      <c r="B1025" s="5" t="s">
        <v>2615</v>
      </c>
      <c r="C1025" s="5" t="s">
        <v>27</v>
      </c>
      <c r="D1025" s="5" t="s">
        <v>28</v>
      </c>
      <c r="E1025" s="5" t="s">
        <v>736</v>
      </c>
      <c r="F1025" s="9">
        <v>83</v>
      </c>
      <c r="G1025" s="9">
        <v>919</v>
      </c>
      <c r="H1025" s="5" t="s">
        <v>20</v>
      </c>
      <c r="I1025" s="5" t="s">
        <v>2616</v>
      </c>
      <c r="J1025" s="12" t="str">
        <f>HYPERLINK("https://www.boe.es/gazeta/dias/1804/10/16/pdfs/GMD-1804-83.pdf#page=9","Abrir facsímil")</f>
        <v>Abrir facsímil</v>
      </c>
      <c r="K1025" s="15" t="s">
        <v>22</v>
      </c>
    </row>
    <row r="1026" spans="1:11" ht="42" customHeight="1">
      <c r="A1026" s="4" t="s">
        <v>2617</v>
      </c>
      <c r="B1026" s="5" t="s">
        <v>2618</v>
      </c>
      <c r="C1026" s="5" t="s">
        <v>17</v>
      </c>
      <c r="D1026" s="5" t="s">
        <v>18</v>
      </c>
      <c r="E1026" s="5" t="s">
        <v>91</v>
      </c>
      <c r="F1026" s="9">
        <v>72</v>
      </c>
      <c r="G1026" s="9">
        <v>807</v>
      </c>
      <c r="H1026" s="5" t="s">
        <v>20</v>
      </c>
      <c r="I1026" s="5" t="s">
        <v>2619</v>
      </c>
      <c r="J1026" s="12" t="str">
        <f>HYPERLINK("https://www.boe.es/gazeta/dias/1804/09/07/pdfs/GMD-1804-72.pdf#page=9","Abrir facsímil")</f>
        <v>Abrir facsímil</v>
      </c>
      <c r="K1026" s="15" t="s">
        <v>22</v>
      </c>
    </row>
    <row r="1027" spans="1:11" ht="42" customHeight="1">
      <c r="A1027" s="4" t="s">
        <v>2620</v>
      </c>
      <c r="B1027" s="5" t="s">
        <v>2621</v>
      </c>
      <c r="C1027" s="5" t="s">
        <v>85</v>
      </c>
      <c r="D1027" s="5" t="s">
        <v>86</v>
      </c>
      <c r="E1027" s="5" t="s">
        <v>526</v>
      </c>
      <c r="F1027" s="9">
        <v>95</v>
      </c>
      <c r="G1027" s="9">
        <v>1060</v>
      </c>
      <c r="H1027" s="5" t="s">
        <v>20</v>
      </c>
      <c r="I1027" s="5" t="s">
        <v>2622</v>
      </c>
      <c r="J1027" s="12" t="str">
        <f>HYPERLINK("https://www.boe.es/gazeta/dias/1804/11/27/pdfs/GMD-1804-95.pdf#page=12","Abrir facsímil")</f>
        <v>Abrir facsímil</v>
      </c>
      <c r="K1027" s="15" t="s">
        <v>22</v>
      </c>
    </row>
    <row r="1028" spans="1:11" ht="42" customHeight="1">
      <c r="A1028" s="4" t="s">
        <v>2623</v>
      </c>
      <c r="B1028" s="5" t="s">
        <v>2624</v>
      </c>
      <c r="C1028" s="5" t="s">
        <v>27</v>
      </c>
      <c r="D1028" s="5" t="s">
        <v>28</v>
      </c>
      <c r="E1028" s="5" t="s">
        <v>29</v>
      </c>
      <c r="F1028" s="9">
        <v>88</v>
      </c>
      <c r="G1028" s="9">
        <v>977</v>
      </c>
      <c r="H1028" s="5" t="s">
        <v>20</v>
      </c>
      <c r="I1028" s="5" t="s">
        <v>2625</v>
      </c>
      <c r="J1028" s="12" t="str">
        <f>HYPERLINK("https://www.boe.es/gazeta/dias/1804/11/02/pdfs/GMD-1804-88.pdf#page=9","Abrir facsímil")</f>
        <v>Abrir facsímil</v>
      </c>
      <c r="K1028" s="15" t="s">
        <v>22</v>
      </c>
    </row>
    <row r="1029" spans="1:11" ht="42" customHeight="1">
      <c r="A1029" s="4" t="s">
        <v>2626</v>
      </c>
      <c r="B1029" s="5" t="s">
        <v>2627</v>
      </c>
      <c r="C1029" s="5" t="s">
        <v>27</v>
      </c>
      <c r="D1029" s="5" t="s">
        <v>28</v>
      </c>
      <c r="E1029" s="5" t="s">
        <v>91</v>
      </c>
      <c r="F1029" s="9">
        <v>72</v>
      </c>
      <c r="G1029" s="9">
        <v>806</v>
      </c>
      <c r="H1029" s="5" t="s">
        <v>20</v>
      </c>
      <c r="I1029" s="5" t="s">
        <v>2628</v>
      </c>
      <c r="J1029" s="12" t="str">
        <f>HYPERLINK("https://www.boe.es/gazeta/dias/1804/09/07/pdfs/GMD-1804-72.pdf#page=8","Abrir facsímil")</f>
        <v>Abrir facsímil</v>
      </c>
      <c r="K1029" s="15" t="s">
        <v>22</v>
      </c>
    </row>
    <row r="1030" spans="1:11" ht="42" customHeight="1">
      <c r="A1030" s="4" t="s">
        <v>2629</v>
      </c>
      <c r="B1030" s="5" t="s">
        <v>2630</v>
      </c>
      <c r="C1030" s="5" t="s">
        <v>198</v>
      </c>
      <c r="D1030" s="5" t="s">
        <v>66</v>
      </c>
      <c r="E1030" s="5" t="s">
        <v>298</v>
      </c>
      <c r="F1030" s="9">
        <v>10</v>
      </c>
      <c r="G1030" s="9">
        <v>108</v>
      </c>
      <c r="H1030" s="5" t="s">
        <v>20</v>
      </c>
      <c r="I1030" s="5" t="s">
        <v>2631</v>
      </c>
      <c r="J1030" s="12" t="str">
        <f>HYPERLINK("https://www.boe.es/gazeta/dias/1804/02/03/pdfs/GMD-1804-10.pdf#page=8","Abrir facsímil")</f>
        <v>Abrir facsímil</v>
      </c>
      <c r="K1030" s="15" t="s">
        <v>22</v>
      </c>
    </row>
    <row r="1031" spans="1:11" ht="42" customHeight="1">
      <c r="A1031" s="4" t="s">
        <v>2632</v>
      </c>
      <c r="B1031" s="5" t="s">
        <v>2633</v>
      </c>
      <c r="C1031" s="5" t="s">
        <v>27</v>
      </c>
      <c r="D1031" s="5" t="s">
        <v>28</v>
      </c>
      <c r="E1031" s="5" t="s">
        <v>272</v>
      </c>
      <c r="F1031" s="9">
        <v>30</v>
      </c>
      <c r="G1031" s="9">
        <v>331</v>
      </c>
      <c r="H1031" s="5" t="s">
        <v>20</v>
      </c>
      <c r="I1031" s="5" t="s">
        <v>2634</v>
      </c>
      <c r="J1031" s="12" t="str">
        <f>HYPERLINK("https://www.boe.es/gazeta/dias/1804/04/13/pdfs/GMD-1804-30.pdf#page=9","Abrir facsímil")</f>
        <v>Abrir facsímil</v>
      </c>
      <c r="K1031" s="15" t="s">
        <v>22</v>
      </c>
    </row>
    <row r="1032" spans="1:11" ht="42" customHeight="1">
      <c r="A1032" s="4" t="s">
        <v>2635</v>
      </c>
      <c r="B1032" s="5" t="s">
        <v>2636</v>
      </c>
      <c r="C1032" s="5" t="s">
        <v>85</v>
      </c>
      <c r="D1032" s="5" t="s">
        <v>86</v>
      </c>
      <c r="E1032" s="5" t="s">
        <v>1337</v>
      </c>
      <c r="F1032" s="9">
        <v>7</v>
      </c>
      <c r="G1032" s="9">
        <v>71</v>
      </c>
      <c r="H1032" s="5" t="s">
        <v>20</v>
      </c>
      <c r="I1032" s="5" t="s">
        <v>2637</v>
      </c>
      <c r="J1032" s="12" t="str">
        <f>HYPERLINK("https://www.boe.es/gazeta/dias/1804/01/24/pdfs/GMD-1804-7.pdf#page=11","Abrir facsímil")</f>
        <v>Abrir facsímil</v>
      </c>
      <c r="K1032" s="15" t="s">
        <v>22</v>
      </c>
    </row>
    <row r="1033" spans="1:11" ht="42" customHeight="1">
      <c r="A1033" s="4" t="s">
        <v>2635</v>
      </c>
      <c r="B1033" s="5" t="s">
        <v>2636</v>
      </c>
      <c r="C1033" s="5" t="s">
        <v>85</v>
      </c>
      <c r="D1033" s="5" t="s">
        <v>86</v>
      </c>
      <c r="E1033" s="5" t="s">
        <v>515</v>
      </c>
      <c r="F1033" s="9">
        <v>102</v>
      </c>
      <c r="G1033" s="9">
        <v>1139</v>
      </c>
      <c r="H1033" s="5" t="s">
        <v>20</v>
      </c>
      <c r="I1033" s="5" t="s">
        <v>2638</v>
      </c>
      <c r="J1033" s="12" t="str">
        <f>HYPERLINK("https://www.boe.es/gazeta/dias/1804/12/21/pdfs/GMD-1804-102.pdf#page=7","Abrir facsímil")</f>
        <v>Abrir facsímil</v>
      </c>
      <c r="K1033" s="15" t="s">
        <v>22</v>
      </c>
    </row>
    <row r="1034" spans="1:11" ht="42" customHeight="1">
      <c r="A1034" s="4" t="s">
        <v>2639</v>
      </c>
      <c r="B1034" s="5" t="s">
        <v>2640</v>
      </c>
      <c r="C1034" s="5" t="s">
        <v>27</v>
      </c>
      <c r="D1034" s="5" t="s">
        <v>28</v>
      </c>
      <c r="E1034" s="5" t="s">
        <v>178</v>
      </c>
      <c r="F1034" s="9">
        <v>20</v>
      </c>
      <c r="G1034" s="9">
        <v>220</v>
      </c>
      <c r="H1034" s="5" t="s">
        <v>20</v>
      </c>
      <c r="I1034" s="5" t="s">
        <v>2641</v>
      </c>
      <c r="J1034" s="12" t="str">
        <f>HYPERLINK("https://www.boe.es/gazeta/dias/1804/03/09/pdfs/GMD-1804-20.pdf#page=8","Abrir facsímil")</f>
        <v>Abrir facsímil</v>
      </c>
      <c r="K1034" s="15" t="s">
        <v>22</v>
      </c>
    </row>
    <row r="1035" spans="1:11" ht="42" customHeight="1">
      <c r="A1035" s="4" t="s">
        <v>2642</v>
      </c>
      <c r="B1035" s="5" t="s">
        <v>2643</v>
      </c>
      <c r="C1035" s="5" t="s">
        <v>17</v>
      </c>
      <c r="D1035" s="5" t="s">
        <v>18</v>
      </c>
      <c r="E1035" s="5" t="s">
        <v>81</v>
      </c>
      <c r="F1035" s="9">
        <v>98</v>
      </c>
      <c r="G1035" s="9">
        <v>1088</v>
      </c>
      <c r="H1035" s="5" t="s">
        <v>20</v>
      </c>
      <c r="I1035" s="5" t="s">
        <v>2644</v>
      </c>
      <c r="J1035" s="12" t="str">
        <f>HYPERLINK("https://www.boe.es/gazeta/dias/1804/12/07/pdfs/GMD-1804-98.pdf#page=4","Abrir facsímil")</f>
        <v>Abrir facsímil</v>
      </c>
      <c r="K1035" s="15" t="s">
        <v>22</v>
      </c>
    </row>
    <row r="1036" spans="1:11" ht="42" customHeight="1">
      <c r="A1036" s="4" t="s">
        <v>2645</v>
      </c>
      <c r="B1036" s="5" t="s">
        <v>2646</v>
      </c>
      <c r="C1036" s="5" t="s">
        <v>27</v>
      </c>
      <c r="D1036" s="5" t="s">
        <v>28</v>
      </c>
      <c r="E1036" s="5" t="s">
        <v>511</v>
      </c>
      <c r="F1036" s="9">
        <v>12</v>
      </c>
      <c r="G1036" s="9">
        <v>133</v>
      </c>
      <c r="H1036" s="5" t="s">
        <v>20</v>
      </c>
      <c r="I1036" s="5" t="s">
        <v>2647</v>
      </c>
      <c r="J1036" s="12" t="str">
        <f>HYPERLINK("https://www.boe.es/gazeta/dias/1804/02/10/pdfs/GMD-1804-12.pdf#page=9","Abrir facsímil")</f>
        <v>Abrir facsímil</v>
      </c>
      <c r="K1036" s="15" t="s">
        <v>22</v>
      </c>
    </row>
    <row r="1037" spans="1:11" ht="42" customHeight="1">
      <c r="A1037" s="4" t="s">
        <v>2648</v>
      </c>
      <c r="B1037" s="5" t="s">
        <v>2649</v>
      </c>
      <c r="C1037" s="5" t="s">
        <v>27</v>
      </c>
      <c r="D1037" s="5" t="s">
        <v>28</v>
      </c>
      <c r="E1037" s="5" t="s">
        <v>178</v>
      </c>
      <c r="F1037" s="9">
        <v>20</v>
      </c>
      <c r="G1037" s="9">
        <v>220</v>
      </c>
      <c r="H1037" s="5" t="s">
        <v>20</v>
      </c>
      <c r="I1037" s="5" t="s">
        <v>2650</v>
      </c>
      <c r="J1037" s="12" t="str">
        <f>HYPERLINK("https://www.boe.es/gazeta/dias/1804/03/09/pdfs/GMD-1804-20.pdf#page=8","Abrir facsímil")</f>
        <v>Abrir facsímil</v>
      </c>
      <c r="K1037" s="15" t="s">
        <v>22</v>
      </c>
    </row>
    <row r="1038" spans="1:11" ht="42" customHeight="1">
      <c r="A1038" s="4" t="s">
        <v>2651</v>
      </c>
      <c r="B1038" s="5" t="s">
        <v>2652</v>
      </c>
      <c r="C1038" s="5" t="s">
        <v>27</v>
      </c>
      <c r="D1038" s="5" t="s">
        <v>28</v>
      </c>
      <c r="E1038" s="5" t="s">
        <v>71</v>
      </c>
      <c r="F1038" s="9">
        <v>99</v>
      </c>
      <c r="G1038" s="9">
        <v>1106</v>
      </c>
      <c r="H1038" s="5" t="s">
        <v>20</v>
      </c>
      <c r="I1038" s="5" t="s">
        <v>2653</v>
      </c>
      <c r="J1038" s="12" t="str">
        <f>HYPERLINK("https://www.boe.es/gazeta/dias/1804/12/11/pdfs/GMD-1804-99.pdf#page=6","Abrir facsímil")</f>
        <v>Abrir facsímil</v>
      </c>
      <c r="K1038" s="15" t="s">
        <v>22</v>
      </c>
    </row>
    <row r="1039" spans="1:11" ht="42" customHeight="1">
      <c r="A1039" s="4" t="s">
        <v>2654</v>
      </c>
      <c r="B1039" s="5" t="s">
        <v>2655</v>
      </c>
      <c r="C1039" s="5" t="s">
        <v>27</v>
      </c>
      <c r="D1039" s="5" t="s">
        <v>28</v>
      </c>
      <c r="E1039" s="5" t="s">
        <v>320</v>
      </c>
      <c r="F1039" s="9">
        <v>31</v>
      </c>
      <c r="G1039" s="9">
        <v>343</v>
      </c>
      <c r="H1039" s="5" t="s">
        <v>20</v>
      </c>
      <c r="I1039" s="5" t="s">
        <v>2656</v>
      </c>
      <c r="J1039" s="12" t="str">
        <f>HYPERLINK("https://www.boe.es/gazeta/dias/1804/04/17/pdfs/GMD-1804-31.pdf#page=9","Abrir facsímil")</f>
        <v>Abrir facsímil</v>
      </c>
      <c r="K1039" s="15" t="s">
        <v>22</v>
      </c>
    </row>
    <row r="1040" spans="1:11" ht="42" customHeight="1">
      <c r="A1040" s="4" t="s">
        <v>2657</v>
      </c>
      <c r="B1040" s="5" t="s">
        <v>2658</v>
      </c>
      <c r="C1040" s="5" t="s">
        <v>17</v>
      </c>
      <c r="D1040" s="5" t="s">
        <v>18</v>
      </c>
      <c r="E1040" s="5" t="s">
        <v>182</v>
      </c>
      <c r="F1040" s="9">
        <v>21</v>
      </c>
      <c r="G1040" s="9">
        <v>235</v>
      </c>
      <c r="H1040" s="5" t="s">
        <v>20</v>
      </c>
      <c r="I1040" s="5" t="s">
        <v>2659</v>
      </c>
      <c r="J1040" s="12" t="str">
        <f>HYPERLINK("https://www.boe.es/gazeta/dias/1804/03/13/pdfs/GMD-1804-21.pdf#page=11","Abrir facsímil")</f>
        <v>Abrir facsímil</v>
      </c>
      <c r="K1040" s="15" t="s">
        <v>22</v>
      </c>
    </row>
    <row r="1041" spans="1:11" ht="42" customHeight="1">
      <c r="A1041" s="4" t="s">
        <v>2660</v>
      </c>
      <c r="B1041" s="5" t="s">
        <v>2661</v>
      </c>
      <c r="C1041" s="5" t="s">
        <v>198</v>
      </c>
      <c r="D1041" s="5" t="s">
        <v>66</v>
      </c>
      <c r="E1041" s="5" t="s">
        <v>54</v>
      </c>
      <c r="F1041" s="9">
        <v>63</v>
      </c>
      <c r="G1041" s="9">
        <v>702</v>
      </c>
      <c r="H1041" s="5" t="s">
        <v>20</v>
      </c>
      <c r="I1041" s="5" t="s">
        <v>2662</v>
      </c>
      <c r="J1041" s="12" t="str">
        <f>HYPERLINK("https://www.boe.es/gazeta/dias/1804/08/07/pdfs/GMD-1804-63.pdf#page=12","Abrir facsímil")</f>
        <v>Abrir facsímil</v>
      </c>
      <c r="K1041" s="15" t="s">
        <v>22</v>
      </c>
    </row>
    <row r="1042" spans="1:11" ht="42" customHeight="1">
      <c r="A1042" s="4" t="s">
        <v>2663</v>
      </c>
      <c r="B1042" s="5" t="s">
        <v>2664</v>
      </c>
      <c r="C1042" s="5" t="s">
        <v>27</v>
      </c>
      <c r="D1042" s="5" t="s">
        <v>28</v>
      </c>
      <c r="E1042" s="5" t="s">
        <v>479</v>
      </c>
      <c r="F1042" s="9">
        <v>5</v>
      </c>
      <c r="G1042" s="9">
        <v>47</v>
      </c>
      <c r="H1042" s="5" t="s">
        <v>20</v>
      </c>
      <c r="I1042" s="5" t="s">
        <v>2665</v>
      </c>
      <c r="J1042" s="12" t="str">
        <f>HYPERLINK("https://www.boe.es/gazeta/dias/1804/01/17/pdfs/GMD-1804-5.pdf#page=7","Abrir facsímil")</f>
        <v>Abrir facsímil</v>
      </c>
      <c r="K1042" s="15" t="s">
        <v>22</v>
      </c>
    </row>
    <row r="1043" spans="1:11" ht="42" customHeight="1">
      <c r="A1043" s="4" t="s">
        <v>2666</v>
      </c>
      <c r="B1043" s="5" t="s">
        <v>2667</v>
      </c>
      <c r="C1043" s="5" t="s">
        <v>262</v>
      </c>
      <c r="D1043" s="5" t="s">
        <v>263</v>
      </c>
      <c r="E1043" s="5" t="s">
        <v>241</v>
      </c>
      <c r="F1043" s="9">
        <v>71</v>
      </c>
      <c r="G1043" s="9">
        <v>795</v>
      </c>
      <c r="H1043" s="5" t="s">
        <v>20</v>
      </c>
      <c r="I1043" s="5" t="s">
        <v>2668</v>
      </c>
      <c r="J1043" s="12" t="str">
        <f>HYPERLINK("https://www.boe.es/gazeta/dias/1804/09/04/pdfs/GMD-C-1804-71.pdf#page=1","Abrir facsímil")</f>
        <v>Abrir facsímil</v>
      </c>
      <c r="K1043" s="15" t="s">
        <v>22</v>
      </c>
    </row>
    <row r="1044" spans="1:11" ht="42" customHeight="1">
      <c r="A1044" s="4" t="s">
        <v>2669</v>
      </c>
      <c r="B1044" s="5" t="s">
        <v>2670</v>
      </c>
      <c r="C1044" s="5" t="s">
        <v>57</v>
      </c>
      <c r="D1044" s="5" t="s">
        <v>58</v>
      </c>
      <c r="E1044" s="5" t="s">
        <v>699</v>
      </c>
      <c r="F1044" s="9">
        <v>2</v>
      </c>
      <c r="G1044" s="9">
        <v>14</v>
      </c>
      <c r="H1044" s="5" t="s">
        <v>20</v>
      </c>
      <c r="I1044" s="5" t="s">
        <v>2671</v>
      </c>
      <c r="J1044" s="12" t="str">
        <f>HYPERLINK("https://www.boe.es/gazeta/dias/1804/01/06/pdfs/GMD-1804-2.pdf#page=2","Abrir facsímil")</f>
        <v>Abrir facsímil</v>
      </c>
      <c r="K1044" s="15" t="s">
        <v>22</v>
      </c>
    </row>
    <row r="1045" spans="1:11" ht="42" customHeight="1">
      <c r="A1045" s="4" t="s">
        <v>2672</v>
      </c>
      <c r="B1045" s="5" t="s">
        <v>2673</v>
      </c>
      <c r="C1045" s="5" t="s">
        <v>27</v>
      </c>
      <c r="D1045" s="5" t="s">
        <v>28</v>
      </c>
      <c r="E1045" s="5" t="s">
        <v>736</v>
      </c>
      <c r="F1045" s="9">
        <v>83</v>
      </c>
      <c r="G1045" s="9">
        <v>919</v>
      </c>
      <c r="H1045" s="5" t="s">
        <v>20</v>
      </c>
      <c r="I1045" s="5" t="s">
        <v>2674</v>
      </c>
      <c r="J1045" s="12" t="str">
        <f>HYPERLINK("https://www.boe.es/gazeta/dias/1804/10/16/pdfs/GMD-1804-83.pdf#page=9","Abrir facsímil")</f>
        <v>Abrir facsímil</v>
      </c>
      <c r="K1045" s="15" t="s">
        <v>22</v>
      </c>
    </row>
    <row r="1046" spans="1:11" ht="42" customHeight="1">
      <c r="A1046" s="4" t="s">
        <v>2675</v>
      </c>
      <c r="B1046" s="5" t="s">
        <v>2676</v>
      </c>
      <c r="C1046" s="5" t="s">
        <v>65</v>
      </c>
      <c r="D1046" s="5" t="s">
        <v>66</v>
      </c>
      <c r="E1046" s="5" t="s">
        <v>151</v>
      </c>
      <c r="F1046" s="9">
        <v>13</v>
      </c>
      <c r="G1046" s="9">
        <v>142</v>
      </c>
      <c r="H1046" s="5" t="s">
        <v>20</v>
      </c>
      <c r="I1046" s="5" t="s">
        <v>2677</v>
      </c>
      <c r="J1046" s="12" t="str">
        <f>HYPERLINK("https://www.boe.es/gazeta/dias/1804/02/14/pdfs/GMD-1804-13.pdf#page=6","Abrir facsímil")</f>
        <v>Abrir facsímil</v>
      </c>
      <c r="K1046" s="15" t="s">
        <v>22</v>
      </c>
    </row>
    <row r="1047" spans="1:11" ht="42" customHeight="1">
      <c r="A1047" s="4" t="s">
        <v>2678</v>
      </c>
      <c r="B1047" s="5" t="s">
        <v>2679</v>
      </c>
      <c r="C1047" s="5" t="s">
        <v>27</v>
      </c>
      <c r="D1047" s="5" t="s">
        <v>28</v>
      </c>
      <c r="E1047" s="5" t="s">
        <v>800</v>
      </c>
      <c r="F1047" s="9">
        <v>45</v>
      </c>
      <c r="G1047" s="9">
        <v>500</v>
      </c>
      <c r="H1047" s="5" t="s">
        <v>20</v>
      </c>
      <c r="I1047" s="5" t="s">
        <v>2680</v>
      </c>
      <c r="J1047" s="12" t="str">
        <f>HYPERLINK("https://www.boe.es/gazeta/dias/1804/06/05/pdfs/GMD-1804-45.pdf#page=10","Abrir facsímil")</f>
        <v>Abrir facsímil</v>
      </c>
      <c r="K1047" s="15" t="s">
        <v>22</v>
      </c>
    </row>
    <row r="1048" spans="1:11" ht="42" customHeight="1">
      <c r="A1048" s="4" t="s">
        <v>2681</v>
      </c>
      <c r="B1048" s="5" t="s">
        <v>2682</v>
      </c>
      <c r="C1048" s="5" t="s">
        <v>27</v>
      </c>
      <c r="D1048" s="5" t="s">
        <v>28</v>
      </c>
      <c r="E1048" s="5" t="s">
        <v>736</v>
      </c>
      <c r="F1048" s="9">
        <v>83</v>
      </c>
      <c r="G1048" s="9">
        <v>919</v>
      </c>
      <c r="H1048" s="5" t="s">
        <v>20</v>
      </c>
      <c r="I1048" s="5" t="s">
        <v>2683</v>
      </c>
      <c r="J1048" s="12" t="str">
        <f>HYPERLINK("https://www.boe.es/gazeta/dias/1804/10/16/pdfs/GMD-1804-83.pdf#page=9","Abrir facsímil")</f>
        <v>Abrir facsímil</v>
      </c>
      <c r="K1048" s="15" t="s">
        <v>22</v>
      </c>
    </row>
    <row r="1049" spans="1:11" ht="42" customHeight="1">
      <c r="A1049" s="4" t="s">
        <v>2684</v>
      </c>
      <c r="B1049" s="5" t="s">
        <v>2685</v>
      </c>
      <c r="C1049" s="5" t="s">
        <v>85</v>
      </c>
      <c r="D1049" s="5" t="s">
        <v>86</v>
      </c>
      <c r="E1049" s="5" t="s">
        <v>1020</v>
      </c>
      <c r="F1049" s="9">
        <v>103</v>
      </c>
      <c r="G1049" s="9">
        <v>1147</v>
      </c>
      <c r="H1049" s="5" t="s">
        <v>20</v>
      </c>
      <c r="I1049" s="5" t="s">
        <v>2686</v>
      </c>
      <c r="J1049" s="12" t="str">
        <f>HYPERLINK("https://www.boe.es/gazeta/dias/1804/12/25/pdfs/GMD-1804-103.pdf#page=7","Abrir facsímil")</f>
        <v>Abrir facsímil</v>
      </c>
      <c r="K1049" s="15" t="s">
        <v>22</v>
      </c>
    </row>
    <row r="1050" spans="1:11" ht="42" customHeight="1">
      <c r="A1050" s="4" t="s">
        <v>2687</v>
      </c>
      <c r="B1050" s="5" t="s">
        <v>2688</v>
      </c>
      <c r="C1050" s="5" t="s">
        <v>17</v>
      </c>
      <c r="D1050" s="5" t="s">
        <v>18</v>
      </c>
      <c r="E1050" s="5" t="s">
        <v>155</v>
      </c>
      <c r="F1050" s="9">
        <v>92</v>
      </c>
      <c r="G1050" s="9">
        <v>1020</v>
      </c>
      <c r="H1050" s="5" t="s">
        <v>20</v>
      </c>
      <c r="I1050" s="5" t="s">
        <v>2689</v>
      </c>
      <c r="J1050" s="12" t="str">
        <f>HYPERLINK("https://www.boe.es/gazeta/dias/1804/11/16/pdfs/GMD-1804-92.pdf#page=8","Abrir facsímil")</f>
        <v>Abrir facsímil</v>
      </c>
      <c r="K1050" s="15" t="s">
        <v>22</v>
      </c>
    </row>
    <row r="1051" spans="1:11" ht="42" customHeight="1">
      <c r="A1051" s="4" t="s">
        <v>2690</v>
      </c>
      <c r="B1051" s="5" t="s">
        <v>2691</v>
      </c>
      <c r="C1051" s="5" t="s">
        <v>17</v>
      </c>
      <c r="D1051" s="5" t="s">
        <v>18</v>
      </c>
      <c r="E1051" s="5" t="s">
        <v>264</v>
      </c>
      <c r="F1051" s="9">
        <v>49</v>
      </c>
      <c r="G1051" s="9">
        <v>545</v>
      </c>
      <c r="H1051" s="5" t="s">
        <v>20</v>
      </c>
      <c r="I1051" s="5" t="s">
        <v>2692</v>
      </c>
      <c r="J1051" s="12" t="str">
        <f>HYPERLINK("https://www.boe.es/gazeta/dias/1804/06/19/pdfs/GMD-1804-49.pdf#page=7","Abrir facsímil")</f>
        <v>Abrir facsímil</v>
      </c>
      <c r="K1051" s="15" t="s">
        <v>22</v>
      </c>
    </row>
    <row r="1052" spans="1:11" ht="42" customHeight="1">
      <c r="A1052" s="4" t="s">
        <v>2690</v>
      </c>
      <c r="B1052" s="5" t="s">
        <v>2691</v>
      </c>
      <c r="C1052" s="5" t="s">
        <v>17</v>
      </c>
      <c r="D1052" s="5" t="s">
        <v>18</v>
      </c>
      <c r="E1052" s="5" t="s">
        <v>326</v>
      </c>
      <c r="F1052" s="9">
        <v>69</v>
      </c>
      <c r="G1052" s="9">
        <v>776</v>
      </c>
      <c r="H1052" s="5" t="s">
        <v>20</v>
      </c>
      <c r="I1052" s="5" t="s">
        <v>2693</v>
      </c>
      <c r="J1052" s="12" t="str">
        <f>HYPERLINK("https://www.boe.es/gazeta/dias/1804/08/28/pdfs/GMD-1804-69.pdf#page=10","Abrir facsímil")</f>
        <v>Abrir facsímil</v>
      </c>
      <c r="K1052" s="15" t="s">
        <v>22</v>
      </c>
    </row>
    <row r="1053" spans="1:11" ht="42" customHeight="1">
      <c r="A1053" s="4" t="s">
        <v>2690</v>
      </c>
      <c r="B1053" s="5" t="s">
        <v>2691</v>
      </c>
      <c r="C1053" s="5" t="s">
        <v>17</v>
      </c>
      <c r="D1053" s="5" t="s">
        <v>18</v>
      </c>
      <c r="E1053" s="5" t="s">
        <v>736</v>
      </c>
      <c r="F1053" s="9">
        <v>83</v>
      </c>
      <c r="G1053" s="9">
        <v>920</v>
      </c>
      <c r="H1053" s="5" t="s">
        <v>20</v>
      </c>
      <c r="I1053" s="5" t="s">
        <v>2694</v>
      </c>
      <c r="J1053" s="12" t="str">
        <f>HYPERLINK("https://www.boe.es/gazeta/dias/1804/10/16/pdfs/GMD-1804-83.pdf#page=10","Abrir facsímil")</f>
        <v>Abrir facsímil</v>
      </c>
      <c r="K1053" s="15" t="s">
        <v>22</v>
      </c>
    </row>
    <row r="1054" spans="1:11" ht="42" customHeight="1">
      <c r="A1054" s="4" t="s">
        <v>2695</v>
      </c>
      <c r="B1054" s="5" t="s">
        <v>2696</v>
      </c>
      <c r="C1054" s="5" t="s">
        <v>57</v>
      </c>
      <c r="D1054" s="5" t="s">
        <v>58</v>
      </c>
      <c r="E1054" s="5" t="s">
        <v>109</v>
      </c>
      <c r="F1054" s="9">
        <v>35</v>
      </c>
      <c r="G1054" s="9">
        <v>381</v>
      </c>
      <c r="H1054" s="5" t="s">
        <v>20</v>
      </c>
      <c r="I1054" s="5" t="s">
        <v>2697</v>
      </c>
      <c r="J1054" s="12" t="str">
        <f>HYPERLINK("https://www.boe.es/gazeta/dias/1804/05/01/pdfs/GMD-1804-35.pdf#page=3","Abrir facsímil")</f>
        <v>Abrir facsímil</v>
      </c>
      <c r="K1054" s="15" t="s">
        <v>22</v>
      </c>
    </row>
    <row r="1055" spans="1:11" ht="42" customHeight="1">
      <c r="A1055" s="4" t="s">
        <v>2698</v>
      </c>
      <c r="B1055" s="5" t="s">
        <v>2699</v>
      </c>
      <c r="C1055" s="5" t="s">
        <v>198</v>
      </c>
      <c r="D1055" s="5" t="s">
        <v>66</v>
      </c>
      <c r="E1055" s="5" t="s">
        <v>479</v>
      </c>
      <c r="F1055" s="9">
        <v>5</v>
      </c>
      <c r="G1055" s="9">
        <v>48</v>
      </c>
      <c r="H1055" s="5" t="s">
        <v>20</v>
      </c>
      <c r="I1055" s="5" t="s">
        <v>2700</v>
      </c>
      <c r="J1055" s="12" t="str">
        <f>HYPERLINK("https://www.boe.es/gazeta/dias/1804/01/17/pdfs/GMD-1804-5.pdf#page=8","Abrir facsímil")</f>
        <v>Abrir facsímil</v>
      </c>
      <c r="K1055" s="15" t="s">
        <v>22</v>
      </c>
    </row>
    <row r="1056" spans="1:11" ht="42" customHeight="1">
      <c r="A1056" s="4" t="s">
        <v>2698</v>
      </c>
      <c r="B1056" s="5" t="s">
        <v>2699</v>
      </c>
      <c r="C1056" s="5" t="s">
        <v>198</v>
      </c>
      <c r="D1056" s="5" t="s">
        <v>66</v>
      </c>
      <c r="E1056" s="5" t="s">
        <v>103</v>
      </c>
      <c r="F1056" s="9">
        <v>11</v>
      </c>
      <c r="G1056" s="9">
        <v>123</v>
      </c>
      <c r="H1056" s="5" t="s">
        <v>20</v>
      </c>
      <c r="I1056" s="5" t="s">
        <v>2701</v>
      </c>
      <c r="J1056" s="12" t="str">
        <f>HYPERLINK("https://www.boe.es/gazeta/dias/1804/02/07/pdfs/GMD-1804-11.pdf#page=11","Abrir facsímil")</f>
        <v>Abrir facsímil</v>
      </c>
      <c r="K1056" s="15" t="s">
        <v>22</v>
      </c>
    </row>
    <row r="1057" spans="1:11" ht="42" customHeight="1">
      <c r="A1057" s="4" t="s">
        <v>2702</v>
      </c>
      <c r="B1057" s="5" t="s">
        <v>2703</v>
      </c>
      <c r="C1057" s="5" t="s">
        <v>27</v>
      </c>
      <c r="D1057" s="5" t="s">
        <v>28</v>
      </c>
      <c r="E1057" s="5" t="s">
        <v>67</v>
      </c>
      <c r="F1057" s="9">
        <v>59</v>
      </c>
      <c r="G1057" s="9">
        <v>653</v>
      </c>
      <c r="H1057" s="5" t="s">
        <v>20</v>
      </c>
      <c r="I1057" s="5" t="s">
        <v>2704</v>
      </c>
      <c r="J1057" s="12" t="str">
        <f>HYPERLINK("https://www.boe.es/gazeta/dias/1804/07/24/pdfs/GMD-1804-59.pdf#page=7","Abrir facsímil")</f>
        <v>Abrir facsímil</v>
      </c>
      <c r="K1057" s="15" t="s">
        <v>22</v>
      </c>
    </row>
    <row r="1058" spans="1:11" ht="42" customHeight="1">
      <c r="A1058" s="4" t="s">
        <v>2705</v>
      </c>
      <c r="B1058" s="5" t="s">
        <v>2706</v>
      </c>
      <c r="C1058" s="5" t="s">
        <v>17</v>
      </c>
      <c r="D1058" s="5" t="s">
        <v>18</v>
      </c>
      <c r="E1058" s="5" t="s">
        <v>106</v>
      </c>
      <c r="F1058" s="9">
        <v>34</v>
      </c>
      <c r="G1058" s="9">
        <v>376</v>
      </c>
      <c r="H1058" s="5" t="s">
        <v>20</v>
      </c>
      <c r="I1058" s="5" t="s">
        <v>2707</v>
      </c>
      <c r="J1058" s="12" t="str">
        <f>HYPERLINK("https://www.boe.es/gazeta/dias/1804/04/27/pdfs/GMD-1804-34.pdf#page=6","Abrir facsímil")</f>
        <v>Abrir facsímil</v>
      </c>
      <c r="K1058" s="15" t="s">
        <v>22</v>
      </c>
    </row>
    <row r="1059" spans="1:11" ht="42" customHeight="1">
      <c r="A1059" s="4" t="s">
        <v>2708</v>
      </c>
      <c r="B1059" s="5" t="s">
        <v>2709</v>
      </c>
      <c r="C1059" s="5" t="s">
        <v>17</v>
      </c>
      <c r="D1059" s="5" t="s">
        <v>18</v>
      </c>
      <c r="E1059" s="5" t="s">
        <v>421</v>
      </c>
      <c r="F1059" s="9">
        <v>47</v>
      </c>
      <c r="G1059" s="9">
        <v>528</v>
      </c>
      <c r="H1059" s="5" t="s">
        <v>20</v>
      </c>
      <c r="I1059" s="5" t="s">
        <v>2710</v>
      </c>
      <c r="J1059" s="12" t="str">
        <f>HYPERLINK("https://www.boe.es/gazeta/dias/1804/06/12/pdfs/GMD-1804-47.pdf#page=10","Abrir facsímil")</f>
        <v>Abrir facsímil</v>
      </c>
      <c r="K1059" s="15" t="s">
        <v>22</v>
      </c>
    </row>
    <row r="1060" spans="1:11" ht="42" customHeight="1">
      <c r="A1060" s="4" t="s">
        <v>2711</v>
      </c>
      <c r="B1060" s="5" t="s">
        <v>2712</v>
      </c>
      <c r="C1060" s="5" t="s">
        <v>65</v>
      </c>
      <c r="D1060" s="5" t="s">
        <v>66</v>
      </c>
      <c r="E1060" s="5" t="s">
        <v>576</v>
      </c>
      <c r="F1060" s="9">
        <v>85</v>
      </c>
      <c r="G1060" s="9">
        <v>940</v>
      </c>
      <c r="H1060" s="5" t="s">
        <v>20</v>
      </c>
      <c r="I1060" s="5" t="s">
        <v>2713</v>
      </c>
      <c r="J1060" s="12" t="str">
        <f>HYPERLINK("https://www.boe.es/gazeta/dias/1804/10/23/pdfs/GMD-1804-85.pdf#page=10","Abrir facsímil")</f>
        <v>Abrir facsímil</v>
      </c>
      <c r="K1060" s="15" t="s">
        <v>22</v>
      </c>
    </row>
    <row r="1061" spans="1:11" ht="42" customHeight="1">
      <c r="A1061" s="4" t="s">
        <v>2714</v>
      </c>
      <c r="B1061" s="5" t="s">
        <v>2715</v>
      </c>
      <c r="C1061" s="5" t="s">
        <v>27</v>
      </c>
      <c r="D1061" s="5" t="s">
        <v>28</v>
      </c>
      <c r="E1061" s="5" t="s">
        <v>155</v>
      </c>
      <c r="F1061" s="9">
        <v>92</v>
      </c>
      <c r="G1061" s="9">
        <v>1020</v>
      </c>
      <c r="H1061" s="5" t="s">
        <v>20</v>
      </c>
      <c r="I1061" s="5" t="s">
        <v>2716</v>
      </c>
      <c r="J1061" s="12" t="str">
        <f>HYPERLINK("https://www.boe.es/gazeta/dias/1804/11/16/pdfs/GMD-1804-92.pdf#page=8","Abrir facsímil")</f>
        <v>Abrir facsímil</v>
      </c>
      <c r="K1061" s="15" t="s">
        <v>22</v>
      </c>
    </row>
    <row r="1062" spans="1:11" ht="42" customHeight="1">
      <c r="A1062" s="4" t="s">
        <v>2717</v>
      </c>
      <c r="B1062" s="5" t="s">
        <v>2718</v>
      </c>
      <c r="C1062" s="5" t="s">
        <v>17</v>
      </c>
      <c r="D1062" s="5" t="s">
        <v>18</v>
      </c>
      <c r="E1062" s="5" t="s">
        <v>71</v>
      </c>
      <c r="F1062" s="9">
        <v>99</v>
      </c>
      <c r="G1062" s="9">
        <v>1107</v>
      </c>
      <c r="H1062" s="5" t="s">
        <v>20</v>
      </c>
      <c r="I1062" s="5" t="s">
        <v>2719</v>
      </c>
      <c r="J1062" s="12" t="str">
        <f>HYPERLINK("https://www.boe.es/gazeta/dias/1804/12/11/pdfs/GMD-1804-99.pdf#page=7","Abrir facsímil")</f>
        <v>Abrir facsímil</v>
      </c>
      <c r="K1062" s="15" t="s">
        <v>22</v>
      </c>
    </row>
    <row r="1063" spans="1:11" ht="42" customHeight="1">
      <c r="A1063" s="4" t="s">
        <v>2720</v>
      </c>
      <c r="B1063" s="5" t="s">
        <v>2721</v>
      </c>
      <c r="C1063" s="5" t="s">
        <v>27</v>
      </c>
      <c r="D1063" s="5" t="s">
        <v>28</v>
      </c>
      <c r="E1063" s="5" t="s">
        <v>490</v>
      </c>
      <c r="F1063" s="9">
        <v>100</v>
      </c>
      <c r="G1063" s="9">
        <v>1119</v>
      </c>
      <c r="H1063" s="5" t="s">
        <v>20</v>
      </c>
      <c r="I1063" s="5" t="s">
        <v>2722</v>
      </c>
      <c r="J1063" s="12" t="str">
        <f>HYPERLINK("https://www.boe.es/gazeta/dias/1804/12/14/pdfs/GMD-1804-100.pdf#page=11","Abrir facsímil")</f>
        <v>Abrir facsímil</v>
      </c>
      <c r="K1063" s="15" t="s">
        <v>22</v>
      </c>
    </row>
    <row r="1064" spans="1:11" ht="42" customHeight="1">
      <c r="A1064" s="4" t="s">
        <v>2723</v>
      </c>
      <c r="B1064" s="5" t="s">
        <v>2724</v>
      </c>
      <c r="C1064" s="5" t="s">
        <v>27</v>
      </c>
      <c r="D1064" s="5" t="s">
        <v>28</v>
      </c>
      <c r="E1064" s="5" t="s">
        <v>245</v>
      </c>
      <c r="F1064" s="9">
        <v>6</v>
      </c>
      <c r="G1064" s="9">
        <v>58</v>
      </c>
      <c r="H1064" s="5" t="s">
        <v>20</v>
      </c>
      <c r="I1064" s="5" t="s">
        <v>2725</v>
      </c>
      <c r="J1064" s="12" t="str">
        <f>HYPERLINK("https://www.boe.es/gazeta/dias/1804/01/20/pdfs/GMD-1804-6.pdf#page=10","Abrir facsímil")</f>
        <v>Abrir facsímil</v>
      </c>
      <c r="K1064" s="15" t="s">
        <v>22</v>
      </c>
    </row>
    <row r="1065" spans="1:11" ht="42" customHeight="1">
      <c r="A1065" s="4" t="s">
        <v>2726</v>
      </c>
      <c r="B1065" s="5" t="s">
        <v>2727</v>
      </c>
      <c r="C1065" s="5" t="s">
        <v>17</v>
      </c>
      <c r="D1065" s="5" t="s">
        <v>18</v>
      </c>
      <c r="E1065" s="5" t="s">
        <v>191</v>
      </c>
      <c r="F1065" s="9">
        <v>101</v>
      </c>
      <c r="G1065" s="9">
        <v>1130</v>
      </c>
      <c r="H1065" s="5" t="s">
        <v>20</v>
      </c>
      <c r="I1065" s="5" t="s">
        <v>2728</v>
      </c>
      <c r="J1065" s="12" t="str">
        <f>HYPERLINK("https://www.boe.es/gazeta/dias/1804/12/18/pdfs/GMD-1804-101.pdf#page=10","Abrir facsímil")</f>
        <v>Abrir facsímil</v>
      </c>
      <c r="K1065" s="15" t="s">
        <v>22</v>
      </c>
    </row>
    <row r="1066" spans="1:11" ht="42" customHeight="1">
      <c r="A1066" s="4" t="s">
        <v>2729</v>
      </c>
      <c r="B1066" s="5" t="s">
        <v>2730</v>
      </c>
      <c r="C1066" s="5" t="s">
        <v>27</v>
      </c>
      <c r="D1066" s="5" t="s">
        <v>28</v>
      </c>
      <c r="E1066" s="5" t="s">
        <v>33</v>
      </c>
      <c r="F1066" s="9">
        <v>48</v>
      </c>
      <c r="G1066" s="9">
        <v>537</v>
      </c>
      <c r="H1066" s="5" t="s">
        <v>20</v>
      </c>
      <c r="I1066" s="5" t="s">
        <v>2731</v>
      </c>
      <c r="J1066" s="12" t="str">
        <f>HYPERLINK("https://www.boe.es/gazeta/dias/1804/06/15/pdfs/GMD-1804-48.pdf#page=7","Abrir facsímil")</f>
        <v>Abrir facsímil</v>
      </c>
      <c r="K1066" s="15" t="s">
        <v>22</v>
      </c>
    </row>
    <row r="1067" spans="1:11" ht="42" customHeight="1">
      <c r="A1067" s="4" t="s">
        <v>2732</v>
      </c>
      <c r="B1067" s="5" t="s">
        <v>2733</v>
      </c>
      <c r="C1067" s="5" t="s">
        <v>27</v>
      </c>
      <c r="D1067" s="5" t="s">
        <v>28</v>
      </c>
      <c r="E1067" s="5" t="s">
        <v>23</v>
      </c>
      <c r="F1067" s="9">
        <v>91</v>
      </c>
      <c r="G1067" s="9">
        <v>1009</v>
      </c>
      <c r="H1067" s="5" t="s">
        <v>20</v>
      </c>
      <c r="I1067" s="5" t="s">
        <v>2734</v>
      </c>
      <c r="J1067" s="12" t="str">
        <f>HYPERLINK("https://www.boe.es/gazeta/dias/1804/11/13/pdfs/GMD-1804-91.pdf#page=9","Abrir facsímil")</f>
        <v>Abrir facsímil</v>
      </c>
      <c r="K1067" s="15" t="s">
        <v>22</v>
      </c>
    </row>
    <row r="1068" spans="1:11" ht="42" customHeight="1">
      <c r="A1068" s="4" t="s">
        <v>2735</v>
      </c>
      <c r="B1068" s="5" t="s">
        <v>2736</v>
      </c>
      <c r="C1068" s="5" t="s">
        <v>17</v>
      </c>
      <c r="D1068" s="5" t="s">
        <v>18</v>
      </c>
      <c r="E1068" s="5" t="s">
        <v>71</v>
      </c>
      <c r="F1068" s="9">
        <v>99</v>
      </c>
      <c r="G1068" s="9">
        <v>1107</v>
      </c>
      <c r="H1068" s="5" t="s">
        <v>20</v>
      </c>
      <c r="I1068" s="5" t="s">
        <v>2737</v>
      </c>
      <c r="J1068" s="12" t="str">
        <f>HYPERLINK("https://www.boe.es/gazeta/dias/1804/12/11/pdfs/GMD-1804-99.pdf#page=7","Abrir facsímil")</f>
        <v>Abrir facsímil</v>
      </c>
      <c r="K1068" s="15" t="s">
        <v>22</v>
      </c>
    </row>
    <row r="1069" spans="1:11" ht="42" customHeight="1">
      <c r="A1069" s="4" t="s">
        <v>2738</v>
      </c>
      <c r="B1069" s="5" t="s">
        <v>2739</v>
      </c>
      <c r="C1069" s="5" t="s">
        <v>27</v>
      </c>
      <c r="D1069" s="5" t="s">
        <v>28</v>
      </c>
      <c r="E1069" s="5" t="s">
        <v>132</v>
      </c>
      <c r="F1069" s="9">
        <v>52</v>
      </c>
      <c r="G1069" s="9">
        <v>578</v>
      </c>
      <c r="H1069" s="5" t="s">
        <v>20</v>
      </c>
      <c r="I1069" s="5" t="s">
        <v>2740</v>
      </c>
      <c r="J1069" s="12" t="str">
        <f>HYPERLINK("https://www.boe.es/gazeta/dias/1804/06/29/pdfs/GMD-1804-52.pdf#page=12","Abrir facsímil")</f>
        <v>Abrir facsímil</v>
      </c>
      <c r="K1069" s="15" t="s">
        <v>22</v>
      </c>
    </row>
    <row r="1070" spans="1:11" ht="42" customHeight="1">
      <c r="A1070" s="4" t="s">
        <v>2741</v>
      </c>
      <c r="B1070" s="5" t="s">
        <v>2742</v>
      </c>
      <c r="C1070" s="5" t="s">
        <v>198</v>
      </c>
      <c r="D1070" s="5" t="s">
        <v>66</v>
      </c>
      <c r="E1070" s="5" t="s">
        <v>526</v>
      </c>
      <c r="F1070" s="9">
        <v>95</v>
      </c>
      <c r="G1070" s="9">
        <v>1057</v>
      </c>
      <c r="H1070" s="5" t="s">
        <v>20</v>
      </c>
      <c r="I1070" s="5" t="s">
        <v>2743</v>
      </c>
      <c r="J1070" s="12" t="str">
        <f>HYPERLINK("https://www.boe.es/gazeta/dias/1804/11/27/pdfs/GMD-1804-95.pdf#page=9","Abrir facsímil")</f>
        <v>Abrir facsímil</v>
      </c>
      <c r="K1070" s="15" t="s">
        <v>22</v>
      </c>
    </row>
    <row r="1071" spans="1:11" ht="42" customHeight="1">
      <c r="A1071" s="4" t="s">
        <v>2744</v>
      </c>
      <c r="B1071" s="5" t="s">
        <v>2745</v>
      </c>
      <c r="C1071" s="5" t="s">
        <v>65</v>
      </c>
      <c r="D1071" s="5" t="s">
        <v>66</v>
      </c>
      <c r="E1071" s="5" t="s">
        <v>298</v>
      </c>
      <c r="F1071" s="9">
        <v>10</v>
      </c>
      <c r="G1071" s="9">
        <v>109</v>
      </c>
      <c r="H1071" s="5" t="s">
        <v>20</v>
      </c>
      <c r="I1071" s="5" t="s">
        <v>2746</v>
      </c>
      <c r="J1071" s="12" t="str">
        <f>HYPERLINK("https://www.boe.es/gazeta/dias/1804/02/03/pdfs/GMD-1804-10.pdf#page=9","Abrir facsímil")</f>
        <v>Abrir facsímil</v>
      </c>
      <c r="K1071" s="15" t="s">
        <v>22</v>
      </c>
    </row>
    <row r="1072" spans="1:11" ht="42" customHeight="1">
      <c r="A1072" s="4" t="s">
        <v>2747</v>
      </c>
      <c r="B1072" s="5" t="s">
        <v>2748</v>
      </c>
      <c r="C1072" s="5" t="s">
        <v>85</v>
      </c>
      <c r="D1072" s="5" t="s">
        <v>86</v>
      </c>
      <c r="E1072" s="5" t="s">
        <v>33</v>
      </c>
      <c r="F1072" s="9">
        <v>48</v>
      </c>
      <c r="G1072" s="9">
        <v>538</v>
      </c>
      <c r="H1072" s="5" t="s">
        <v>20</v>
      </c>
      <c r="I1072" s="5" t="s">
        <v>2749</v>
      </c>
      <c r="J1072" s="12" t="str">
        <f>HYPERLINK("https://www.boe.es/gazeta/dias/1804/06/15/pdfs/GMD-1804-48.pdf#page=8","Abrir facsímil")</f>
        <v>Abrir facsímil</v>
      </c>
      <c r="K1072" s="15" t="s">
        <v>22</v>
      </c>
    </row>
    <row r="1073" spans="1:11" ht="42" customHeight="1">
      <c r="A1073" s="4" t="s">
        <v>2750</v>
      </c>
      <c r="B1073" s="5" t="s">
        <v>2751</v>
      </c>
      <c r="C1073" s="5" t="s">
        <v>17</v>
      </c>
      <c r="D1073" s="5" t="s">
        <v>18</v>
      </c>
      <c r="E1073" s="5" t="s">
        <v>378</v>
      </c>
      <c r="F1073" s="9">
        <v>65</v>
      </c>
      <c r="G1073" s="9">
        <v>730</v>
      </c>
      <c r="H1073" s="5" t="s">
        <v>20</v>
      </c>
      <c r="I1073" s="5" t="s">
        <v>2752</v>
      </c>
      <c r="J1073" s="12" t="str">
        <f>HYPERLINK("https://www.boe.es/gazeta/dias/1804/08/14/pdfs/GMD-1804-65.pdf#page=8","Abrir facsímil")</f>
        <v>Abrir facsímil</v>
      </c>
      <c r="K1073" s="15" t="s">
        <v>22</v>
      </c>
    </row>
    <row r="1074" spans="1:11" ht="42" customHeight="1">
      <c r="A1074" s="4" t="s">
        <v>2753</v>
      </c>
      <c r="B1074" s="5" t="s">
        <v>2754</v>
      </c>
      <c r="C1074" s="5" t="s">
        <v>17</v>
      </c>
      <c r="D1074" s="5" t="s">
        <v>18</v>
      </c>
      <c r="E1074" s="5" t="s">
        <v>159</v>
      </c>
      <c r="F1074" s="9">
        <v>15</v>
      </c>
      <c r="G1074" s="9">
        <v>163</v>
      </c>
      <c r="H1074" s="5" t="s">
        <v>20</v>
      </c>
      <c r="I1074" s="5" t="s">
        <v>2755</v>
      </c>
      <c r="J1074" s="12" t="str">
        <f>HYPERLINK("https://www.boe.es/gazeta/dias/1804/02/21/pdfs/GMD-1804-15.pdf#page=7","Abrir facsímil")</f>
        <v>Abrir facsímil</v>
      </c>
      <c r="K1074" s="15" t="s">
        <v>22</v>
      </c>
    </row>
    <row r="1075" spans="1:11" ht="42" customHeight="1">
      <c r="A1075" s="4" t="s">
        <v>2756</v>
      </c>
      <c r="B1075" s="5" t="s">
        <v>2757</v>
      </c>
      <c r="C1075" s="5" t="s">
        <v>27</v>
      </c>
      <c r="D1075" s="5" t="s">
        <v>28</v>
      </c>
      <c r="E1075" s="5" t="s">
        <v>308</v>
      </c>
      <c r="F1075" s="9">
        <v>96</v>
      </c>
      <c r="G1075" s="9">
        <v>1068</v>
      </c>
      <c r="H1075" s="5" t="s">
        <v>20</v>
      </c>
      <c r="I1075" s="5" t="s">
        <v>2758</v>
      </c>
      <c r="J1075" s="12" t="str">
        <f>HYPERLINK("https://www.boe.es/gazeta/dias/1804/11/30/pdfs/GMD-1804-96.pdf#page=8","Abrir facsímil")</f>
        <v>Abrir facsímil</v>
      </c>
      <c r="K1075" s="15" t="s">
        <v>22</v>
      </c>
    </row>
    <row r="1076" spans="1:11" ht="42" customHeight="1">
      <c r="A1076" s="4" t="s">
        <v>2759</v>
      </c>
      <c r="B1076" s="5" t="s">
        <v>2760</v>
      </c>
      <c r="C1076" s="5" t="s">
        <v>27</v>
      </c>
      <c r="D1076" s="5" t="s">
        <v>28</v>
      </c>
      <c r="E1076" s="5" t="s">
        <v>151</v>
      </c>
      <c r="F1076" s="9">
        <v>13</v>
      </c>
      <c r="G1076" s="9">
        <v>142</v>
      </c>
      <c r="H1076" s="5" t="s">
        <v>20</v>
      </c>
      <c r="I1076" s="5" t="s">
        <v>2761</v>
      </c>
      <c r="J1076" s="12" t="str">
        <f>HYPERLINK("https://www.boe.es/gazeta/dias/1804/02/14/pdfs/GMD-1804-13.pdf#page=6","Abrir facsímil")</f>
        <v>Abrir facsímil</v>
      </c>
      <c r="K1076" s="15" t="s">
        <v>22</v>
      </c>
    </row>
    <row r="1077" spans="1:11" ht="42" customHeight="1">
      <c r="A1077" s="4" t="s">
        <v>2759</v>
      </c>
      <c r="B1077" s="5" t="s">
        <v>2760</v>
      </c>
      <c r="C1077" s="5" t="s">
        <v>27</v>
      </c>
      <c r="D1077" s="5" t="s">
        <v>28</v>
      </c>
      <c r="E1077" s="5" t="s">
        <v>308</v>
      </c>
      <c r="F1077" s="9">
        <v>96</v>
      </c>
      <c r="G1077" s="9">
        <v>1068</v>
      </c>
      <c r="H1077" s="5" t="s">
        <v>20</v>
      </c>
      <c r="I1077" s="5" t="s">
        <v>2762</v>
      </c>
      <c r="J1077" s="12" t="str">
        <f>HYPERLINK("https://www.boe.es/gazeta/dias/1804/11/30/pdfs/GMD-1804-96.pdf#page=8","Abrir facsímil")</f>
        <v>Abrir facsímil</v>
      </c>
      <c r="K1077" s="15" t="s">
        <v>22</v>
      </c>
    </row>
    <row r="1078" spans="1:11" ht="42" customHeight="1">
      <c r="A1078" s="4" t="s">
        <v>2763</v>
      </c>
      <c r="B1078" s="5" t="s">
        <v>2764</v>
      </c>
      <c r="C1078" s="5" t="s">
        <v>198</v>
      </c>
      <c r="D1078" s="5" t="s">
        <v>66</v>
      </c>
      <c r="E1078" s="5" t="s">
        <v>354</v>
      </c>
      <c r="F1078" s="9">
        <v>1</v>
      </c>
      <c r="G1078" s="9">
        <v>11</v>
      </c>
      <c r="H1078" s="5" t="s">
        <v>20</v>
      </c>
      <c r="I1078" s="5" t="s">
        <v>2765</v>
      </c>
      <c r="J1078" s="12" t="str">
        <f>HYPERLINK("https://www.boe.es/gazeta/dias/1804/01/03/pdfs/GMD-1804-1.pdf#page=11","Abrir facsímil")</f>
        <v>Abrir facsímil</v>
      </c>
      <c r="K1078" s="15" t="s">
        <v>22</v>
      </c>
    </row>
    <row r="1079" spans="1:11" ht="42" customHeight="1">
      <c r="A1079" s="4" t="s">
        <v>2766</v>
      </c>
      <c r="B1079" s="5" t="s">
        <v>2767</v>
      </c>
      <c r="C1079" s="5" t="s">
        <v>85</v>
      </c>
      <c r="D1079" s="5" t="s">
        <v>86</v>
      </c>
      <c r="E1079" s="5" t="s">
        <v>155</v>
      </c>
      <c r="F1079" s="9">
        <v>92</v>
      </c>
      <c r="G1079" s="9">
        <v>1024</v>
      </c>
      <c r="H1079" s="5" t="s">
        <v>20</v>
      </c>
      <c r="I1079" s="5" t="s">
        <v>2768</v>
      </c>
      <c r="J1079" s="12" t="str">
        <f>HYPERLINK("https://www.boe.es/gazeta/dias/1804/11/16/pdfs/GMD-1804-92.pdf#page=12","Abrir facsímil")</f>
        <v>Abrir facsímil</v>
      </c>
      <c r="K1079" s="15" t="s">
        <v>22</v>
      </c>
    </row>
    <row r="1080" spans="1:11" ht="42" customHeight="1">
      <c r="A1080" s="4" t="s">
        <v>2769</v>
      </c>
      <c r="B1080" s="5" t="s">
        <v>2770</v>
      </c>
      <c r="C1080" s="5" t="s">
        <v>27</v>
      </c>
      <c r="D1080" s="5" t="s">
        <v>28</v>
      </c>
      <c r="E1080" s="5" t="s">
        <v>143</v>
      </c>
      <c r="F1080" s="9">
        <v>87</v>
      </c>
      <c r="G1080" s="9">
        <v>963</v>
      </c>
      <c r="H1080" s="5" t="s">
        <v>20</v>
      </c>
      <c r="I1080" s="5" t="s">
        <v>2771</v>
      </c>
      <c r="J1080" s="12" t="str">
        <f>HYPERLINK("https://www.boe.es/gazeta/dias/1804/10/30/pdfs/GMD-1804-87.pdf#page=7","Abrir facsímil")</f>
        <v>Abrir facsímil</v>
      </c>
      <c r="K1080" s="15" t="s">
        <v>22</v>
      </c>
    </row>
    <row r="1081" spans="1:11" ht="42" customHeight="1">
      <c r="A1081" s="4" t="s">
        <v>2772</v>
      </c>
      <c r="B1081" s="5" t="s">
        <v>2773</v>
      </c>
      <c r="C1081" s="5" t="s">
        <v>27</v>
      </c>
      <c r="D1081" s="5" t="s">
        <v>28</v>
      </c>
      <c r="E1081" s="5" t="s">
        <v>91</v>
      </c>
      <c r="F1081" s="9">
        <v>72</v>
      </c>
      <c r="G1081" s="9">
        <v>806</v>
      </c>
      <c r="H1081" s="5" t="s">
        <v>20</v>
      </c>
      <c r="I1081" s="5" t="s">
        <v>2774</v>
      </c>
      <c r="J1081" s="12" t="str">
        <f>HYPERLINK("https://www.boe.es/gazeta/dias/1804/09/07/pdfs/GMD-1804-72.pdf#page=8","Abrir facsímil")</f>
        <v>Abrir facsímil</v>
      </c>
      <c r="K1081" s="15" t="s">
        <v>22</v>
      </c>
    </row>
    <row r="1082" spans="1:11" ht="42" customHeight="1">
      <c r="A1082" s="4" t="s">
        <v>2775</v>
      </c>
      <c r="B1082" s="5" t="s">
        <v>2776</v>
      </c>
      <c r="C1082" s="5" t="s">
        <v>27</v>
      </c>
      <c r="D1082" s="5" t="s">
        <v>28</v>
      </c>
      <c r="E1082" s="5" t="s">
        <v>159</v>
      </c>
      <c r="F1082" s="9">
        <v>15</v>
      </c>
      <c r="G1082" s="9">
        <v>163</v>
      </c>
      <c r="H1082" s="5" t="s">
        <v>20</v>
      </c>
      <c r="I1082" s="5" t="s">
        <v>2777</v>
      </c>
      <c r="J1082" s="12" t="str">
        <f>HYPERLINK("https://www.boe.es/gazeta/dias/1804/02/21/pdfs/GMD-1804-15.pdf#page=7","Abrir facsímil")</f>
        <v>Abrir facsímil</v>
      </c>
      <c r="K1082" s="15" t="s">
        <v>22</v>
      </c>
    </row>
    <row r="1083" spans="1:11" ht="42" customHeight="1">
      <c r="A1083" s="4" t="s">
        <v>2778</v>
      </c>
      <c r="B1083" s="5" t="s">
        <v>2779</v>
      </c>
      <c r="C1083" s="5" t="s">
        <v>27</v>
      </c>
      <c r="D1083" s="5" t="s">
        <v>28</v>
      </c>
      <c r="E1083" s="5" t="s">
        <v>226</v>
      </c>
      <c r="F1083" s="9">
        <v>17</v>
      </c>
      <c r="G1083" s="9">
        <v>186</v>
      </c>
      <c r="H1083" s="5" t="s">
        <v>20</v>
      </c>
      <c r="I1083" s="5" t="s">
        <v>2780</v>
      </c>
      <c r="J1083" s="12" t="str">
        <f>HYPERLINK("https://www.boe.es/gazeta/dias/1804/02/28/pdfs/GMD-1804-17.pdf#page=6","Abrir facsímil")</f>
        <v>Abrir facsímil</v>
      </c>
      <c r="K1083" s="15" t="s">
        <v>22</v>
      </c>
    </row>
    <row r="1084" spans="1:11" ht="42" customHeight="1">
      <c r="A1084" s="4" t="s">
        <v>2781</v>
      </c>
      <c r="B1084" s="5" t="s">
        <v>2782</v>
      </c>
      <c r="C1084" s="5" t="s">
        <v>65</v>
      </c>
      <c r="D1084" s="5" t="s">
        <v>66</v>
      </c>
      <c r="E1084" s="5" t="s">
        <v>308</v>
      </c>
      <c r="F1084" s="9">
        <v>96</v>
      </c>
      <c r="G1084" s="9">
        <v>1067</v>
      </c>
      <c r="H1084" s="5" t="s">
        <v>20</v>
      </c>
      <c r="I1084" s="5" t="s">
        <v>2783</v>
      </c>
      <c r="J1084" s="12" t="str">
        <f>HYPERLINK("https://www.boe.es/gazeta/dias/1804/11/30/pdfs/GMD-1804-96.pdf#page=7","Abrir facsímil")</f>
        <v>Abrir facsímil</v>
      </c>
      <c r="K1084" s="15" t="s">
        <v>22</v>
      </c>
    </row>
    <row r="1085" spans="1:11" ht="42" customHeight="1">
      <c r="A1085" s="4" t="s">
        <v>2784</v>
      </c>
      <c r="B1085" s="5" t="s">
        <v>2785</v>
      </c>
      <c r="C1085" s="5" t="s">
        <v>17</v>
      </c>
      <c r="D1085" s="5" t="s">
        <v>18</v>
      </c>
      <c r="E1085" s="5" t="s">
        <v>258</v>
      </c>
      <c r="F1085" s="9">
        <v>14</v>
      </c>
      <c r="G1085" s="9">
        <v>154</v>
      </c>
      <c r="H1085" s="5" t="s">
        <v>20</v>
      </c>
      <c r="I1085" s="5" t="s">
        <v>2786</v>
      </c>
      <c r="J1085" s="12" t="str">
        <f>HYPERLINK("https://www.boe.es/gazeta/dias/1804/02/17/pdfs/GMD-1804-14.pdf#page=10","Abrir facsímil")</f>
        <v>Abrir facsímil</v>
      </c>
      <c r="K1085" s="15" t="s">
        <v>22</v>
      </c>
    </row>
    <row r="1086" spans="1:11" ht="42" customHeight="1">
      <c r="A1086" s="4" t="s">
        <v>2787</v>
      </c>
      <c r="B1086" s="5" t="s">
        <v>2788</v>
      </c>
      <c r="C1086" s="5" t="s">
        <v>65</v>
      </c>
      <c r="D1086" s="5" t="s">
        <v>66</v>
      </c>
      <c r="E1086" s="5" t="s">
        <v>67</v>
      </c>
      <c r="F1086" s="9">
        <v>59</v>
      </c>
      <c r="G1086" s="9">
        <v>653</v>
      </c>
      <c r="H1086" s="5" t="s">
        <v>20</v>
      </c>
      <c r="I1086" s="5" t="s">
        <v>2789</v>
      </c>
      <c r="J1086" s="12" t="str">
        <f>HYPERLINK("https://www.boe.es/gazeta/dias/1804/07/24/pdfs/GMD-1804-59.pdf#page=7","Abrir facsímil")</f>
        <v>Abrir facsímil</v>
      </c>
      <c r="K1086" s="15" t="s">
        <v>22</v>
      </c>
    </row>
    <row r="1087" spans="1:11" ht="42" customHeight="1">
      <c r="A1087" s="4" t="s">
        <v>2790</v>
      </c>
      <c r="B1087" s="5" t="s">
        <v>2791</v>
      </c>
      <c r="C1087" s="5" t="s">
        <v>262</v>
      </c>
      <c r="D1087" s="5" t="s">
        <v>263</v>
      </c>
      <c r="E1087" s="5" t="s">
        <v>264</v>
      </c>
      <c r="F1087" s="9">
        <v>49</v>
      </c>
      <c r="G1087" s="9" t="s">
        <v>265</v>
      </c>
      <c r="H1087" s="5" t="s">
        <v>20</v>
      </c>
      <c r="I1087" s="5" t="s">
        <v>2792</v>
      </c>
      <c r="J1087" s="12" t="str">
        <f>HYPERLINK("https://www.boe.es/gazeta/dias/1804/06/19/pdfs/GMD-C-1804-49.pdf#page=9","Abrir facsímil")</f>
        <v>Abrir facsímil</v>
      </c>
      <c r="K1087" s="15" t="s">
        <v>22</v>
      </c>
    </row>
    <row r="1088" spans="1:11" ht="42" customHeight="1">
      <c r="A1088" s="4" t="s">
        <v>2793</v>
      </c>
      <c r="B1088" s="5" t="s">
        <v>2794</v>
      </c>
      <c r="C1088" s="5" t="s">
        <v>27</v>
      </c>
      <c r="D1088" s="5" t="s">
        <v>28</v>
      </c>
      <c r="E1088" s="5" t="s">
        <v>526</v>
      </c>
      <c r="F1088" s="9">
        <v>95</v>
      </c>
      <c r="G1088" s="9">
        <v>1059</v>
      </c>
      <c r="H1088" s="5" t="s">
        <v>20</v>
      </c>
      <c r="I1088" s="5" t="s">
        <v>2795</v>
      </c>
      <c r="J1088" s="12" t="str">
        <f>HYPERLINK("https://www.boe.es/gazeta/dias/1804/11/27/pdfs/GMD-1804-95.pdf#page=11","Abrir facsímil")</f>
        <v>Abrir facsímil</v>
      </c>
      <c r="K1088" s="15" t="s">
        <v>22</v>
      </c>
    </row>
    <row r="1089" spans="1:11" ht="42" customHeight="1">
      <c r="A1089" s="4" t="s">
        <v>2796</v>
      </c>
      <c r="B1089" s="5" t="s">
        <v>2797</v>
      </c>
      <c r="C1089" s="5" t="s">
        <v>27</v>
      </c>
      <c r="D1089" s="5" t="s">
        <v>28</v>
      </c>
      <c r="E1089" s="5" t="s">
        <v>140</v>
      </c>
      <c r="F1089" s="9">
        <v>39</v>
      </c>
      <c r="G1089" s="9">
        <v>436</v>
      </c>
      <c r="H1089" s="5" t="s">
        <v>20</v>
      </c>
      <c r="I1089" s="5" t="s">
        <v>2798</v>
      </c>
      <c r="J1089" s="12" t="str">
        <f>HYPERLINK("https://www.boe.es/gazeta/dias/1804/05/15/pdfs/GMD-1804-39.pdf#page=10","Abrir facsímil")</f>
        <v>Abrir facsímil</v>
      </c>
      <c r="K1089" s="15" t="s">
        <v>22</v>
      </c>
    </row>
    <row r="1090" spans="1:11" ht="42" customHeight="1">
      <c r="A1090" s="4" t="s">
        <v>2799</v>
      </c>
      <c r="B1090" s="5" t="s">
        <v>2800</v>
      </c>
      <c r="C1090" s="5" t="s">
        <v>17</v>
      </c>
      <c r="D1090" s="5" t="s">
        <v>18</v>
      </c>
      <c r="E1090" s="5" t="s">
        <v>59</v>
      </c>
      <c r="F1090" s="9">
        <v>55</v>
      </c>
      <c r="G1090" s="9">
        <v>612</v>
      </c>
      <c r="H1090" s="5" t="s">
        <v>20</v>
      </c>
      <c r="I1090" s="5" t="s">
        <v>2801</v>
      </c>
      <c r="J1090" s="12" t="str">
        <f>HYPERLINK("https://www.boe.es/gazeta/dias/1804/07/10/pdfs/GMD-1804-55.pdf#page=10","Abrir facsímil")</f>
        <v>Abrir facsímil</v>
      </c>
      <c r="K1090" s="15" t="s">
        <v>22</v>
      </c>
    </row>
    <row r="1091" spans="1:11" ht="42" customHeight="1">
      <c r="A1091" s="4" t="s">
        <v>2802</v>
      </c>
      <c r="B1091" s="5" t="s">
        <v>2803</v>
      </c>
      <c r="C1091" s="5" t="s">
        <v>27</v>
      </c>
      <c r="D1091" s="5" t="s">
        <v>28</v>
      </c>
      <c r="E1091" s="5" t="s">
        <v>77</v>
      </c>
      <c r="F1091" s="9">
        <v>32</v>
      </c>
      <c r="G1091" s="9">
        <v>352</v>
      </c>
      <c r="H1091" s="5" t="s">
        <v>20</v>
      </c>
      <c r="I1091" s="5" t="s">
        <v>2804</v>
      </c>
      <c r="J1091" s="12" t="str">
        <f>HYPERLINK("https://www.boe.es/gazeta/dias/1804/04/20/pdfs/GMD-1804-32.pdf#page=6","Abrir facsímil")</f>
        <v>Abrir facsímil</v>
      </c>
      <c r="K1091" s="15" t="s">
        <v>22</v>
      </c>
    </row>
    <row r="1092" spans="1:11" ht="42" customHeight="1">
      <c r="A1092" s="4" t="s">
        <v>2805</v>
      </c>
      <c r="B1092" s="5" t="s">
        <v>2806</v>
      </c>
      <c r="C1092" s="5" t="s">
        <v>57</v>
      </c>
      <c r="D1092" s="5" t="s">
        <v>58</v>
      </c>
      <c r="E1092" s="5" t="s">
        <v>302</v>
      </c>
      <c r="F1092" s="9">
        <v>3</v>
      </c>
      <c r="G1092" s="9">
        <v>23</v>
      </c>
      <c r="H1092" s="5" t="s">
        <v>20</v>
      </c>
      <c r="I1092" s="5" t="s">
        <v>2807</v>
      </c>
      <c r="J1092" s="12" t="str">
        <f>HYPERLINK("https://www.boe.es/gazeta/dias/1804/01/10/pdfs/GMD-1804-3.pdf#page=3","Abrir facsímil")</f>
        <v>Abrir facsímil</v>
      </c>
      <c r="K1092" s="15" t="s">
        <v>22</v>
      </c>
    </row>
    <row r="1093" spans="1:11" ht="42" customHeight="1">
      <c r="A1093" s="4" t="s">
        <v>2808</v>
      </c>
      <c r="B1093" s="5" t="s">
        <v>2809</v>
      </c>
      <c r="C1093" s="5" t="s">
        <v>27</v>
      </c>
      <c r="D1093" s="5" t="s">
        <v>28</v>
      </c>
      <c r="E1093" s="5" t="s">
        <v>37</v>
      </c>
      <c r="F1093" s="9">
        <v>29</v>
      </c>
      <c r="G1093" s="9">
        <v>320</v>
      </c>
      <c r="H1093" s="5" t="s">
        <v>20</v>
      </c>
      <c r="I1093" s="5" t="s">
        <v>2810</v>
      </c>
      <c r="J1093" s="12" t="str">
        <f>HYPERLINK("https://www.boe.es/gazeta/dias/1804/04/10/pdfs/GMD-1804-29.pdf#page=10","Abrir facsímil")</f>
        <v>Abrir facsímil</v>
      </c>
      <c r="K1093" s="15" t="s">
        <v>22</v>
      </c>
    </row>
    <row r="1094" spans="1:11" ht="42" customHeight="1">
      <c r="A1094" s="4" t="s">
        <v>2811</v>
      </c>
      <c r="B1094" s="5" t="s">
        <v>2812</v>
      </c>
      <c r="C1094" s="5" t="s">
        <v>17</v>
      </c>
      <c r="D1094" s="5" t="s">
        <v>18</v>
      </c>
      <c r="E1094" s="5" t="s">
        <v>542</v>
      </c>
      <c r="F1094" s="9">
        <v>54</v>
      </c>
      <c r="G1094" s="9">
        <v>602</v>
      </c>
      <c r="H1094" s="5" t="s">
        <v>20</v>
      </c>
      <c r="I1094" s="5" t="s">
        <v>2813</v>
      </c>
      <c r="J1094" s="12" t="str">
        <f>HYPERLINK("https://www.boe.es/gazeta/dias/1804/07/06/pdfs/GMD-1804-54.pdf#page=8","Abrir facsímil")</f>
        <v>Abrir facsímil</v>
      </c>
      <c r="K1094" s="15" t="s">
        <v>22</v>
      </c>
    </row>
    <row r="1095" spans="1:11" ht="42" customHeight="1">
      <c r="A1095" s="4" t="s">
        <v>2814</v>
      </c>
      <c r="B1095" s="5" t="s">
        <v>2815</v>
      </c>
      <c r="C1095" s="5" t="s">
        <v>27</v>
      </c>
      <c r="D1095" s="5" t="s">
        <v>28</v>
      </c>
      <c r="E1095" s="5" t="s">
        <v>67</v>
      </c>
      <c r="F1095" s="9">
        <v>59</v>
      </c>
      <c r="G1095" s="9">
        <v>652</v>
      </c>
      <c r="H1095" s="5" t="s">
        <v>20</v>
      </c>
      <c r="I1095" s="5" t="s">
        <v>2816</v>
      </c>
      <c r="J1095" s="12" t="str">
        <f>HYPERLINK("https://www.boe.es/gazeta/dias/1804/07/24/pdfs/GMD-1804-59.pdf#page=6","Abrir facsímil")</f>
        <v>Abrir facsímil</v>
      </c>
      <c r="K1095" s="15" t="s">
        <v>22</v>
      </c>
    </row>
    <row r="1096" spans="1:11" ht="42" customHeight="1">
      <c r="A1096" s="4" t="s">
        <v>2817</v>
      </c>
      <c r="B1096" s="5" t="s">
        <v>2818</v>
      </c>
      <c r="C1096" s="5" t="s">
        <v>27</v>
      </c>
      <c r="D1096" s="5" t="s">
        <v>28</v>
      </c>
      <c r="E1096" s="5" t="s">
        <v>308</v>
      </c>
      <c r="F1096" s="9">
        <v>96</v>
      </c>
      <c r="G1096" s="9">
        <v>1067</v>
      </c>
      <c r="H1096" s="5" t="s">
        <v>20</v>
      </c>
      <c r="I1096" s="5" t="s">
        <v>2819</v>
      </c>
      <c r="J1096" s="12" t="str">
        <f>HYPERLINK("https://www.boe.es/gazeta/dias/1804/11/30/pdfs/GMD-1804-96.pdf#page=7","Abrir facsímil")</f>
        <v>Abrir facsímil</v>
      </c>
      <c r="K1096" s="15" t="s">
        <v>22</v>
      </c>
    </row>
    <row r="1097" spans="1:11" ht="42" customHeight="1">
      <c r="A1097" s="4" t="s">
        <v>2820</v>
      </c>
      <c r="B1097" s="5" t="s">
        <v>2821</v>
      </c>
      <c r="C1097" s="5" t="s">
        <v>17</v>
      </c>
      <c r="D1097" s="5" t="s">
        <v>18</v>
      </c>
      <c r="E1097" s="5" t="s">
        <v>33</v>
      </c>
      <c r="F1097" s="9">
        <v>48</v>
      </c>
      <c r="G1097" s="9">
        <v>534</v>
      </c>
      <c r="H1097" s="5" t="s">
        <v>20</v>
      </c>
      <c r="I1097" s="5" t="s">
        <v>2822</v>
      </c>
      <c r="J1097" s="12" t="str">
        <f>HYPERLINK("https://www.boe.es/gazeta/dias/1804/06/15/pdfs/GMD-1804-48.pdf#page=4","Abrir facsímil")</f>
        <v>Abrir facsímil</v>
      </c>
      <c r="K1097" s="15" t="s">
        <v>22</v>
      </c>
    </row>
    <row r="1098" spans="1:11" ht="42" customHeight="1">
      <c r="A1098" s="4" t="s">
        <v>2820</v>
      </c>
      <c r="B1098" s="5" t="s">
        <v>2821</v>
      </c>
      <c r="C1098" s="5" t="s">
        <v>85</v>
      </c>
      <c r="D1098" s="5" t="s">
        <v>86</v>
      </c>
      <c r="E1098" s="5" t="s">
        <v>33</v>
      </c>
      <c r="F1098" s="9">
        <v>48</v>
      </c>
      <c r="G1098" s="9">
        <v>535</v>
      </c>
      <c r="H1098" s="5" t="s">
        <v>20</v>
      </c>
      <c r="I1098" s="5" t="s">
        <v>2823</v>
      </c>
      <c r="J1098" s="12" t="str">
        <f>HYPERLINK("https://www.boe.es/gazeta/dias/1804/06/15/pdfs/GMD-1804-48.pdf#page=5","Abrir facsímil")</f>
        <v>Abrir facsímil</v>
      </c>
      <c r="K1098" s="15" t="s">
        <v>22</v>
      </c>
    </row>
    <row r="1099" spans="1:11" ht="42" customHeight="1">
      <c r="A1099" s="4" t="s">
        <v>2824</v>
      </c>
      <c r="B1099" s="5" t="s">
        <v>2825</v>
      </c>
      <c r="C1099" s="5" t="s">
        <v>27</v>
      </c>
      <c r="D1099" s="5" t="s">
        <v>28</v>
      </c>
      <c r="E1099" s="5" t="s">
        <v>1095</v>
      </c>
      <c r="F1099" s="9">
        <v>73</v>
      </c>
      <c r="G1099" s="9">
        <v>819</v>
      </c>
      <c r="H1099" s="5" t="s">
        <v>20</v>
      </c>
      <c r="I1099" s="5" t="s">
        <v>2826</v>
      </c>
      <c r="J1099" s="12" t="str">
        <f>HYPERLINK("https://www.boe.es/gazeta/dias/1804/09/11/pdfs/GMD-1804-73.pdf#page=9","Abrir facsímil")</f>
        <v>Abrir facsímil</v>
      </c>
      <c r="K1099" s="15" t="s">
        <v>22</v>
      </c>
    </row>
    <row r="1100" spans="1:11" ht="42" customHeight="1">
      <c r="A1100" s="4" t="s">
        <v>2827</v>
      </c>
      <c r="B1100" s="5" t="s">
        <v>2828</v>
      </c>
      <c r="C1100" s="5" t="s">
        <v>27</v>
      </c>
      <c r="D1100" s="5" t="s">
        <v>28</v>
      </c>
      <c r="E1100" s="5" t="s">
        <v>151</v>
      </c>
      <c r="F1100" s="9">
        <v>13</v>
      </c>
      <c r="G1100" s="9">
        <v>142</v>
      </c>
      <c r="H1100" s="5" t="s">
        <v>20</v>
      </c>
      <c r="I1100" s="5" t="s">
        <v>2829</v>
      </c>
      <c r="J1100" s="12" t="str">
        <f>HYPERLINK("https://www.boe.es/gazeta/dias/1804/02/14/pdfs/GMD-1804-13.pdf#page=6","Abrir facsímil")</f>
        <v>Abrir facsímil</v>
      </c>
      <c r="K1100" s="15" t="s">
        <v>22</v>
      </c>
    </row>
    <row r="1101" spans="1:11" ht="42" customHeight="1">
      <c r="A1101" s="4" t="s">
        <v>2830</v>
      </c>
      <c r="B1101" s="5" t="s">
        <v>2831</v>
      </c>
      <c r="C1101" s="5" t="s">
        <v>57</v>
      </c>
      <c r="D1101" s="5" t="s">
        <v>58</v>
      </c>
      <c r="E1101" s="5" t="s">
        <v>61</v>
      </c>
      <c r="F1101" s="9">
        <v>61</v>
      </c>
      <c r="G1101" s="9">
        <v>675</v>
      </c>
      <c r="H1101" s="5" t="s">
        <v>20</v>
      </c>
      <c r="I1101" s="5" t="s">
        <v>2832</v>
      </c>
      <c r="J1101" s="12" t="str">
        <f>HYPERLINK("https://www.boe.es/gazeta/dias/1804/07/31/pdfs/GMD-1804-61.pdf#page=5","Abrir facsímil")</f>
        <v>Abrir facsímil</v>
      </c>
      <c r="K1101" s="15" t="s">
        <v>22</v>
      </c>
    </row>
    <row r="1102" spans="1:11" ht="42" customHeight="1">
      <c r="A1102" s="4" t="s">
        <v>2833</v>
      </c>
      <c r="B1102" s="5" t="s">
        <v>2834</v>
      </c>
      <c r="C1102" s="5" t="s">
        <v>27</v>
      </c>
      <c r="D1102" s="5" t="s">
        <v>28</v>
      </c>
      <c r="E1102" s="5" t="s">
        <v>23</v>
      </c>
      <c r="F1102" s="9">
        <v>91</v>
      </c>
      <c r="G1102" s="9">
        <v>1007</v>
      </c>
      <c r="H1102" s="5" t="s">
        <v>20</v>
      </c>
      <c r="I1102" s="5" t="s">
        <v>2835</v>
      </c>
      <c r="J1102" s="12" t="str">
        <f>HYPERLINK("https://www.boe.es/gazeta/dias/1804/11/13/pdfs/GMD-1804-91.pdf#page=7","Abrir facsímil")</f>
        <v>Abrir facsímil</v>
      </c>
      <c r="K1102" s="15" t="s">
        <v>22</v>
      </c>
    </row>
    <row r="1103" spans="1:11" ht="42" customHeight="1">
      <c r="A1103" s="4" t="s">
        <v>2836</v>
      </c>
      <c r="B1103" s="5" t="s">
        <v>2837</v>
      </c>
      <c r="C1103" s="5" t="s">
        <v>27</v>
      </c>
      <c r="D1103" s="5" t="s">
        <v>28</v>
      </c>
      <c r="E1103" s="5" t="s">
        <v>466</v>
      </c>
      <c r="F1103" s="9">
        <v>76</v>
      </c>
      <c r="G1103" s="9">
        <v>847</v>
      </c>
      <c r="H1103" s="5" t="s">
        <v>20</v>
      </c>
      <c r="I1103" s="5" t="s">
        <v>2838</v>
      </c>
      <c r="J1103" s="12" t="str">
        <f>HYPERLINK("https://www.boe.es/gazeta/dias/1804/09/21/pdfs/GMD-1804-76.pdf#page=5","Abrir facsímil")</f>
        <v>Abrir facsímil</v>
      </c>
      <c r="K1103" s="15" t="s">
        <v>22</v>
      </c>
    </row>
    <row r="1104" spans="1:11" ht="42" customHeight="1">
      <c r="A1104" s="4" t="s">
        <v>2839</v>
      </c>
      <c r="B1104" s="5" t="s">
        <v>2840</v>
      </c>
      <c r="C1104" s="5" t="s">
        <v>198</v>
      </c>
      <c r="D1104" s="5" t="s">
        <v>66</v>
      </c>
      <c r="E1104" s="5" t="s">
        <v>398</v>
      </c>
      <c r="F1104" s="9">
        <v>22</v>
      </c>
      <c r="G1104" s="9">
        <v>250</v>
      </c>
      <c r="H1104" s="5" t="s">
        <v>20</v>
      </c>
      <c r="I1104" s="5" t="s">
        <v>2841</v>
      </c>
      <c r="J1104" s="12" t="str">
        <f>HYPERLINK("https://www.boe.es/gazeta/dias/1804/03/16/pdfs/GMD-C-1804-22.pdf#page=2","Abrir facsímil")</f>
        <v>Abrir facsímil</v>
      </c>
      <c r="K1104" s="15" t="s">
        <v>22</v>
      </c>
    </row>
    <row r="1105" spans="1:11" ht="42" customHeight="1">
      <c r="A1105" s="4" t="s">
        <v>2842</v>
      </c>
      <c r="B1105" s="5" t="s">
        <v>2843</v>
      </c>
      <c r="C1105" s="5" t="s">
        <v>85</v>
      </c>
      <c r="D1105" s="5" t="s">
        <v>86</v>
      </c>
      <c r="E1105" s="5" t="s">
        <v>241</v>
      </c>
      <c r="F1105" s="9">
        <v>71</v>
      </c>
      <c r="G1105" s="9">
        <v>794</v>
      </c>
      <c r="H1105" s="5" t="s">
        <v>20</v>
      </c>
      <c r="I1105" s="5" t="s">
        <v>2844</v>
      </c>
      <c r="J1105" s="12" t="str">
        <f>HYPERLINK("https://www.boe.es/gazeta/dias/1804/09/04/pdfs/GMD-1804-71.pdf#page=8","Abrir facsímil")</f>
        <v>Abrir facsímil</v>
      </c>
      <c r="K1105" s="15" t="s">
        <v>22</v>
      </c>
    </row>
    <row r="1106" spans="1:11" ht="42" customHeight="1">
      <c r="A1106" s="4" t="s">
        <v>2845</v>
      </c>
      <c r="B1106" s="5" t="s">
        <v>2846</v>
      </c>
      <c r="C1106" s="5" t="s">
        <v>27</v>
      </c>
      <c r="D1106" s="5" t="s">
        <v>28</v>
      </c>
      <c r="E1106" s="5" t="s">
        <v>326</v>
      </c>
      <c r="F1106" s="9">
        <v>69</v>
      </c>
      <c r="G1106" s="9">
        <v>775</v>
      </c>
      <c r="H1106" s="5" t="s">
        <v>20</v>
      </c>
      <c r="I1106" s="5" t="s">
        <v>2847</v>
      </c>
      <c r="J1106" s="12" t="str">
        <f>HYPERLINK("https://www.boe.es/gazeta/dias/1804/08/28/pdfs/GMD-1804-69.pdf#page=9","Abrir facsímil")</f>
        <v>Abrir facsímil</v>
      </c>
      <c r="K1106" s="15" t="s">
        <v>22</v>
      </c>
    </row>
    <row r="1107" spans="1:11" ht="42" customHeight="1">
      <c r="A1107" s="4" t="s">
        <v>2848</v>
      </c>
      <c r="B1107" s="5" t="s">
        <v>2849</v>
      </c>
      <c r="C1107" s="5" t="s">
        <v>27</v>
      </c>
      <c r="D1107" s="5" t="s">
        <v>28</v>
      </c>
      <c r="E1107" s="5" t="s">
        <v>298</v>
      </c>
      <c r="F1107" s="9">
        <v>10</v>
      </c>
      <c r="G1107" s="9">
        <v>109</v>
      </c>
      <c r="H1107" s="5" t="s">
        <v>20</v>
      </c>
      <c r="I1107" s="5" t="s">
        <v>2850</v>
      </c>
      <c r="J1107" s="12" t="str">
        <f>HYPERLINK("https://www.boe.es/gazeta/dias/1804/02/03/pdfs/GMD-1804-10.pdf#page=9","Abrir facsímil")</f>
        <v>Abrir facsímil</v>
      </c>
      <c r="K1107" s="15" t="s">
        <v>22</v>
      </c>
    </row>
    <row r="1108" spans="1:11" ht="42" customHeight="1">
      <c r="A1108" s="4" t="s">
        <v>2851</v>
      </c>
      <c r="B1108" s="5" t="s">
        <v>2852</v>
      </c>
      <c r="C1108" s="5" t="s">
        <v>57</v>
      </c>
      <c r="D1108" s="5" t="s">
        <v>58</v>
      </c>
      <c r="E1108" s="5" t="s">
        <v>704</v>
      </c>
      <c r="F1108" s="9">
        <v>36</v>
      </c>
      <c r="G1108" s="9">
        <v>393</v>
      </c>
      <c r="H1108" s="5" t="s">
        <v>20</v>
      </c>
      <c r="I1108" s="5" t="s">
        <v>2853</v>
      </c>
      <c r="J1108" s="12" t="str">
        <f>HYPERLINK("https://www.boe.es/gazeta/dias/1804/05/04/pdfs/GMD-1804-36.pdf#page=3","Abrir facsímil")</f>
        <v>Abrir facsímil</v>
      </c>
      <c r="K1108" s="15" t="s">
        <v>22</v>
      </c>
    </row>
    <row r="1109" spans="1:11" ht="42" customHeight="1">
      <c r="A1109" s="4" t="s">
        <v>2854</v>
      </c>
      <c r="B1109" s="5" t="s">
        <v>2855</v>
      </c>
      <c r="C1109" s="5" t="s">
        <v>27</v>
      </c>
      <c r="D1109" s="5" t="s">
        <v>28</v>
      </c>
      <c r="E1109" s="5" t="s">
        <v>388</v>
      </c>
      <c r="F1109" s="9">
        <v>18</v>
      </c>
      <c r="G1109" s="9">
        <v>198</v>
      </c>
      <c r="H1109" s="5" t="s">
        <v>20</v>
      </c>
      <c r="I1109" s="5" t="s">
        <v>2856</v>
      </c>
      <c r="J1109" s="12" t="str">
        <f>HYPERLINK("https://www.boe.es/gazeta/dias/1804/03/02/pdfs/GMD-1804-18.pdf#page=10","Abrir facsímil")</f>
        <v>Abrir facsímil</v>
      </c>
      <c r="K1109" s="15" t="s">
        <v>22</v>
      </c>
    </row>
    <row r="1110" spans="1:11" ht="42" customHeight="1">
      <c r="A1110" s="4" t="s">
        <v>2857</v>
      </c>
      <c r="B1110" s="5" t="s">
        <v>2858</v>
      </c>
      <c r="C1110" s="5" t="s">
        <v>27</v>
      </c>
      <c r="D1110" s="5" t="s">
        <v>28</v>
      </c>
      <c r="E1110" s="5" t="s">
        <v>388</v>
      </c>
      <c r="F1110" s="9">
        <v>18</v>
      </c>
      <c r="G1110" s="9">
        <v>198</v>
      </c>
      <c r="H1110" s="5" t="s">
        <v>20</v>
      </c>
      <c r="I1110" s="5" t="s">
        <v>2859</v>
      </c>
      <c r="J1110" s="12" t="str">
        <f>HYPERLINK("https://www.boe.es/gazeta/dias/1804/03/02/pdfs/GMD-1804-18.pdf#page=10","Abrir facsímil")</f>
        <v>Abrir facsímil</v>
      </c>
      <c r="K1110" s="15" t="s">
        <v>22</v>
      </c>
    </row>
    <row r="1111" spans="1:11" ht="42" customHeight="1">
      <c r="A1111" s="4" t="s">
        <v>2860</v>
      </c>
      <c r="B1111" s="5" t="s">
        <v>2861</v>
      </c>
      <c r="C1111" s="5" t="s">
        <v>85</v>
      </c>
      <c r="D1111" s="5" t="s">
        <v>86</v>
      </c>
      <c r="E1111" s="5" t="s">
        <v>1449</v>
      </c>
      <c r="F1111" s="9">
        <v>8</v>
      </c>
      <c r="G1111" s="9">
        <v>88</v>
      </c>
      <c r="H1111" s="5" t="s">
        <v>20</v>
      </c>
      <c r="I1111" s="5" t="s">
        <v>2862</v>
      </c>
      <c r="J1111" s="12" t="str">
        <f>HYPERLINK("https://www.boe.es/gazeta/dias/1804/01/27/pdfs/GMD-1804-8.pdf#page=12","Abrir facsímil")</f>
        <v>Abrir facsímil</v>
      </c>
      <c r="K1111" s="15" t="s">
        <v>22</v>
      </c>
    </row>
    <row r="1112" spans="1:11" ht="42" customHeight="1">
      <c r="A1112" s="4" t="s">
        <v>2863</v>
      </c>
      <c r="B1112" s="5" t="s">
        <v>2864</v>
      </c>
      <c r="C1112" s="5" t="s">
        <v>57</v>
      </c>
      <c r="D1112" s="5" t="s">
        <v>58</v>
      </c>
      <c r="E1112" s="5" t="s">
        <v>670</v>
      </c>
      <c r="F1112" s="9">
        <v>41</v>
      </c>
      <c r="G1112" s="9">
        <v>453</v>
      </c>
      <c r="H1112" s="5" t="s">
        <v>20</v>
      </c>
      <c r="I1112" s="5" t="s">
        <v>2865</v>
      </c>
      <c r="J1112" s="12" t="str">
        <f>HYPERLINK("https://www.boe.es/gazeta/dias/1804/05/22/pdfs/GMD-1804-41.pdf#page=3","Abrir facsímil")</f>
        <v>Abrir facsímil</v>
      </c>
      <c r="K1112" s="15" t="s">
        <v>22</v>
      </c>
    </row>
    <row r="1113" spans="1:11" ht="42" customHeight="1">
      <c r="A1113" s="4" t="s">
        <v>2863</v>
      </c>
      <c r="B1113" s="5" t="s">
        <v>2864</v>
      </c>
      <c r="C1113" s="5" t="s">
        <v>27</v>
      </c>
      <c r="D1113" s="5" t="s">
        <v>28</v>
      </c>
      <c r="E1113" s="5" t="s">
        <v>1179</v>
      </c>
      <c r="F1113" s="9">
        <v>43</v>
      </c>
      <c r="G1113" s="9">
        <v>475</v>
      </c>
      <c r="H1113" s="5" t="s">
        <v>20</v>
      </c>
      <c r="I1113" s="5" t="s">
        <v>2866</v>
      </c>
      <c r="J1113" s="12" t="str">
        <f>HYPERLINK("https://www.boe.es/gazeta/dias/1804/05/29/pdfs/GMD-1804-43.pdf#page=1","Abrir facsímil")</f>
        <v>Abrir facsímil</v>
      </c>
      <c r="K1113" s="15" t="s">
        <v>22</v>
      </c>
    </row>
    <row r="1114" spans="1:11" ht="42" customHeight="1">
      <c r="A1114" s="4" t="s">
        <v>2863</v>
      </c>
      <c r="B1114" s="5" t="s">
        <v>2864</v>
      </c>
      <c r="C1114" s="5" t="s">
        <v>27</v>
      </c>
      <c r="D1114" s="5" t="s">
        <v>28</v>
      </c>
      <c r="E1114" s="5" t="s">
        <v>367</v>
      </c>
      <c r="F1114" s="9">
        <v>64</v>
      </c>
      <c r="G1114" s="9">
        <v>708</v>
      </c>
      <c r="H1114" s="5" t="s">
        <v>20</v>
      </c>
      <c r="I1114" s="5" t="s">
        <v>2867</v>
      </c>
      <c r="J1114" s="12" t="str">
        <f>HYPERLINK("https://www.boe.es/gazeta/dias/1804/08/10/pdfs/GMD-1804-64.pdf#page=2","Abrir facsímil")</f>
        <v>Abrir facsímil</v>
      </c>
      <c r="K1114" s="15" t="s">
        <v>22</v>
      </c>
    </row>
    <row r="1115" spans="1:11" ht="42" customHeight="1">
      <c r="A1115" s="4" t="s">
        <v>2868</v>
      </c>
      <c r="B1115" s="5" t="s">
        <v>2869</v>
      </c>
      <c r="C1115" s="5" t="s">
        <v>57</v>
      </c>
      <c r="D1115" s="5" t="s">
        <v>58</v>
      </c>
      <c r="E1115" s="5" t="s">
        <v>302</v>
      </c>
      <c r="F1115" s="9">
        <v>3</v>
      </c>
      <c r="G1115" s="9">
        <v>22</v>
      </c>
      <c r="H1115" s="5" t="s">
        <v>20</v>
      </c>
      <c r="I1115" s="5" t="s">
        <v>2870</v>
      </c>
      <c r="J1115" s="12" t="str">
        <f>HYPERLINK("https://www.boe.es/gazeta/dias/1804/01/10/pdfs/GMD-1804-3.pdf#page=2","Abrir facsímil")</f>
        <v>Abrir facsímil</v>
      </c>
      <c r="K1115" s="15" t="s">
        <v>22</v>
      </c>
    </row>
    <row r="1116" spans="1:11" ht="42" customHeight="1">
      <c r="A1116" s="4" t="s">
        <v>2871</v>
      </c>
      <c r="B1116" s="5" t="s">
        <v>2872</v>
      </c>
      <c r="C1116" s="5" t="s">
        <v>85</v>
      </c>
      <c r="D1116" s="5" t="s">
        <v>86</v>
      </c>
      <c r="E1116" s="5" t="s">
        <v>29</v>
      </c>
      <c r="F1116" s="9">
        <v>88</v>
      </c>
      <c r="G1116" s="9">
        <v>980</v>
      </c>
      <c r="H1116" s="5" t="s">
        <v>20</v>
      </c>
      <c r="I1116" s="5" t="s">
        <v>2873</v>
      </c>
      <c r="J1116" s="12" t="str">
        <f>HYPERLINK("https://www.boe.es/gazeta/dias/1804/11/02/pdfs/GMD-1804-88.pdf#page=12","Abrir facsímil")</f>
        <v>Abrir facsímil</v>
      </c>
      <c r="K1116" s="15" t="s">
        <v>22</v>
      </c>
    </row>
    <row r="1117" spans="1:11" ht="42" customHeight="1">
      <c r="A1117" s="4" t="s">
        <v>2874</v>
      </c>
      <c r="B1117" s="5" t="s">
        <v>2875</v>
      </c>
      <c r="C1117" s="5" t="s">
        <v>27</v>
      </c>
      <c r="D1117" s="5" t="s">
        <v>28</v>
      </c>
      <c r="E1117" s="5" t="s">
        <v>155</v>
      </c>
      <c r="F1117" s="9">
        <v>92</v>
      </c>
      <c r="G1117" s="9">
        <v>1020</v>
      </c>
      <c r="H1117" s="5" t="s">
        <v>20</v>
      </c>
      <c r="I1117" s="5" t="s">
        <v>2876</v>
      </c>
      <c r="J1117" s="12" t="str">
        <f>HYPERLINK("https://www.boe.es/gazeta/dias/1804/11/16/pdfs/GMD-1804-92.pdf#page=8","Abrir facsímil")</f>
        <v>Abrir facsímil</v>
      </c>
      <c r="K1117" s="15" t="s">
        <v>22</v>
      </c>
    </row>
    <row r="1118" spans="1:11" ht="42" customHeight="1">
      <c r="A1118" s="4" t="s">
        <v>2877</v>
      </c>
      <c r="B1118" s="5" t="s">
        <v>2878</v>
      </c>
      <c r="C1118" s="5" t="s">
        <v>27</v>
      </c>
      <c r="D1118" s="5" t="s">
        <v>28</v>
      </c>
      <c r="E1118" s="5" t="s">
        <v>23</v>
      </c>
      <c r="F1118" s="9">
        <v>91</v>
      </c>
      <c r="G1118" s="9">
        <v>1009</v>
      </c>
      <c r="H1118" s="5" t="s">
        <v>20</v>
      </c>
      <c r="I1118" s="5" t="s">
        <v>2879</v>
      </c>
      <c r="J1118" s="12" t="str">
        <f>HYPERLINK("https://www.boe.es/gazeta/dias/1804/11/13/pdfs/GMD-1804-91.pdf#page=9","Abrir facsímil")</f>
        <v>Abrir facsímil</v>
      </c>
      <c r="K1118" s="15" t="s">
        <v>22</v>
      </c>
    </row>
    <row r="1119" spans="1:11" ht="42" customHeight="1">
      <c r="A1119" s="4" t="s">
        <v>2880</v>
      </c>
      <c r="B1119" s="5" t="s">
        <v>2881</v>
      </c>
      <c r="C1119" s="5" t="s">
        <v>27</v>
      </c>
      <c r="D1119" s="5" t="s">
        <v>28</v>
      </c>
      <c r="E1119" s="5" t="s">
        <v>97</v>
      </c>
      <c r="F1119" s="9">
        <v>50</v>
      </c>
      <c r="G1119" s="9">
        <v>552</v>
      </c>
      <c r="H1119" s="5" t="s">
        <v>20</v>
      </c>
      <c r="I1119" s="5" t="s">
        <v>2882</v>
      </c>
      <c r="J1119" s="12" t="str">
        <f>HYPERLINK("https://www.boe.es/gazeta/dias/1804/06/22/pdfs/GMD-1804-50.pdf#page=6","Abrir facsímil")</f>
        <v>Abrir facsímil</v>
      </c>
      <c r="K1119" s="15" t="s">
        <v>22</v>
      </c>
    </row>
    <row r="1120" spans="1:11" ht="42" customHeight="1">
      <c r="A1120" s="4" t="s">
        <v>2883</v>
      </c>
      <c r="B1120" s="5" t="s">
        <v>2884</v>
      </c>
      <c r="C1120" s="5" t="s">
        <v>27</v>
      </c>
      <c r="D1120" s="5" t="s">
        <v>28</v>
      </c>
      <c r="E1120" s="5" t="s">
        <v>81</v>
      </c>
      <c r="F1120" s="9">
        <v>98</v>
      </c>
      <c r="G1120" s="9">
        <v>1089</v>
      </c>
      <c r="H1120" s="5" t="s">
        <v>20</v>
      </c>
      <c r="I1120" s="5" t="s">
        <v>2885</v>
      </c>
      <c r="J1120" s="12" t="str">
        <f>HYPERLINK("https://www.boe.es/gazeta/dias/1804/12/07/pdfs/GMD-1804-98.pdf#page=5","Abrir facsímil")</f>
        <v>Abrir facsímil</v>
      </c>
      <c r="K1120" s="15" t="s">
        <v>22</v>
      </c>
    </row>
    <row r="1121" spans="1:11" ht="42" customHeight="1">
      <c r="A1121" s="4" t="s">
        <v>2886</v>
      </c>
      <c r="B1121" s="5" t="s">
        <v>2887</v>
      </c>
      <c r="C1121" s="5" t="s">
        <v>85</v>
      </c>
      <c r="D1121" s="5" t="s">
        <v>86</v>
      </c>
      <c r="E1121" s="5" t="s">
        <v>704</v>
      </c>
      <c r="F1121" s="9">
        <v>36</v>
      </c>
      <c r="G1121" s="9">
        <v>401</v>
      </c>
      <c r="H1121" s="5" t="s">
        <v>20</v>
      </c>
      <c r="I1121" s="5" t="s">
        <v>2888</v>
      </c>
      <c r="J1121" s="12" t="str">
        <f>HYPERLINK("https://www.boe.es/gazeta/dias/1804/05/04/pdfs/GMD-1804-36.pdf#page=11","Abrir facsímil")</f>
        <v>Abrir facsímil</v>
      </c>
      <c r="K1121" s="15" t="s">
        <v>22</v>
      </c>
    </row>
    <row r="1122" spans="1:11" ht="42" customHeight="1">
      <c r="A1122" s="4" t="s">
        <v>2889</v>
      </c>
      <c r="B1122" s="5" t="s">
        <v>2890</v>
      </c>
      <c r="C1122" s="5" t="s">
        <v>65</v>
      </c>
      <c r="D1122" s="5" t="s">
        <v>66</v>
      </c>
      <c r="E1122" s="5" t="s">
        <v>59</v>
      </c>
      <c r="F1122" s="9">
        <v>55</v>
      </c>
      <c r="G1122" s="9">
        <v>613</v>
      </c>
      <c r="H1122" s="5" t="s">
        <v>20</v>
      </c>
      <c r="I1122" s="5" t="s">
        <v>2891</v>
      </c>
      <c r="J1122" s="12" t="str">
        <f>HYPERLINK("https://www.boe.es/gazeta/dias/1804/07/10/pdfs/GMD-1804-55.pdf#page=11","Abrir facsímil")</f>
        <v>Abrir facsímil</v>
      </c>
      <c r="K1122" s="15" t="s">
        <v>22</v>
      </c>
    </row>
    <row r="1123" spans="1:11" ht="42" customHeight="1">
      <c r="A1123" s="4" t="s">
        <v>2892</v>
      </c>
      <c r="B1123" s="5" t="s">
        <v>2893</v>
      </c>
      <c r="C1123" s="5" t="s">
        <v>198</v>
      </c>
      <c r="D1123" s="5" t="s">
        <v>66</v>
      </c>
      <c r="E1123" s="5" t="s">
        <v>479</v>
      </c>
      <c r="F1123" s="9">
        <v>5</v>
      </c>
      <c r="G1123" s="9">
        <v>48</v>
      </c>
      <c r="H1123" s="5" t="s">
        <v>20</v>
      </c>
      <c r="I1123" s="5" t="s">
        <v>2894</v>
      </c>
      <c r="J1123" s="12" t="str">
        <f>HYPERLINK("https://www.boe.es/gazeta/dias/1804/01/17/pdfs/GMD-1804-5.pdf#page=8","Abrir facsímil")</f>
        <v>Abrir facsímil</v>
      </c>
      <c r="K1123" s="15" t="s">
        <v>22</v>
      </c>
    </row>
    <row r="1124" spans="1:11" ht="42" customHeight="1">
      <c r="A1124" s="4" t="s">
        <v>2895</v>
      </c>
      <c r="B1124" s="5" t="s">
        <v>2896</v>
      </c>
      <c r="C1124" s="5" t="s">
        <v>27</v>
      </c>
      <c r="D1124" s="5" t="s">
        <v>28</v>
      </c>
      <c r="E1124" s="5" t="s">
        <v>29</v>
      </c>
      <c r="F1124" s="9">
        <v>88</v>
      </c>
      <c r="G1124" s="9">
        <v>977</v>
      </c>
      <c r="H1124" s="5" t="s">
        <v>20</v>
      </c>
      <c r="I1124" s="5" t="s">
        <v>2897</v>
      </c>
      <c r="J1124" s="12" t="str">
        <f>HYPERLINK("https://www.boe.es/gazeta/dias/1804/11/02/pdfs/GMD-1804-88.pdf#page=9","Abrir facsímil")</f>
        <v>Abrir facsímil</v>
      </c>
      <c r="K1124" s="15" t="s">
        <v>22</v>
      </c>
    </row>
    <row r="1125" spans="1:11" ht="42" customHeight="1">
      <c r="A1125" s="4" t="s">
        <v>2898</v>
      </c>
      <c r="B1125" s="5" t="s">
        <v>2899</v>
      </c>
      <c r="C1125" s="5" t="s">
        <v>65</v>
      </c>
      <c r="D1125" s="5" t="s">
        <v>66</v>
      </c>
      <c r="E1125" s="5" t="s">
        <v>453</v>
      </c>
      <c r="F1125" s="9">
        <v>33</v>
      </c>
      <c r="G1125" s="9">
        <v>367</v>
      </c>
      <c r="H1125" s="5" t="s">
        <v>20</v>
      </c>
      <c r="I1125" s="5" t="s">
        <v>2900</v>
      </c>
      <c r="J1125" s="12" t="str">
        <f>HYPERLINK("https://www.boe.es/gazeta/dias/1804/04/24/pdfs/GMD-1804-33.pdf#page=9","Abrir facsímil")</f>
        <v>Abrir facsímil</v>
      </c>
      <c r="K1125" s="15" t="s">
        <v>22</v>
      </c>
    </row>
    <row r="1126" spans="1:11" ht="42" customHeight="1">
      <c r="A1126" s="4" t="s">
        <v>2901</v>
      </c>
      <c r="B1126" s="5" t="s">
        <v>2902</v>
      </c>
      <c r="C1126" s="5" t="s">
        <v>85</v>
      </c>
      <c r="D1126" s="5" t="s">
        <v>86</v>
      </c>
      <c r="E1126" s="5" t="s">
        <v>298</v>
      </c>
      <c r="F1126" s="9">
        <v>10</v>
      </c>
      <c r="G1126" s="9">
        <v>112</v>
      </c>
      <c r="H1126" s="5" t="s">
        <v>20</v>
      </c>
      <c r="I1126" s="5" t="s">
        <v>2903</v>
      </c>
      <c r="J1126" s="12" t="str">
        <f>HYPERLINK("https://www.boe.es/gazeta/dias/1804/02/03/pdfs/GMD-1804-10.pdf#page=12","Abrir facsímil")</f>
        <v>Abrir facsímil</v>
      </c>
      <c r="K1126" s="15" t="s">
        <v>22</v>
      </c>
    </row>
    <row r="1127" spans="1:11" ht="42" customHeight="1">
      <c r="A1127" s="4" t="s">
        <v>2904</v>
      </c>
      <c r="B1127" s="5" t="s">
        <v>2905</v>
      </c>
      <c r="C1127" s="5" t="s">
        <v>27</v>
      </c>
      <c r="D1127" s="5" t="s">
        <v>28</v>
      </c>
      <c r="E1127" s="5" t="s">
        <v>1278</v>
      </c>
      <c r="F1127" s="9">
        <v>37</v>
      </c>
      <c r="G1127" s="9">
        <v>405</v>
      </c>
      <c r="H1127" s="5" t="s">
        <v>20</v>
      </c>
      <c r="I1127" s="5" t="s">
        <v>2906</v>
      </c>
      <c r="J1127" s="12" t="str">
        <f>HYPERLINK("https://www.boe.es/gazeta/dias/1804/05/08/pdfs/GMD-1804-37.pdf#page=3","Abrir facsímil")</f>
        <v>Abrir facsímil</v>
      </c>
      <c r="K1127" s="15" t="s">
        <v>22</v>
      </c>
    </row>
    <row r="1128" spans="1:11" ht="42" customHeight="1">
      <c r="A1128" s="4" t="s">
        <v>2907</v>
      </c>
      <c r="B1128" s="5" t="s">
        <v>2908</v>
      </c>
      <c r="C1128" s="5" t="s">
        <v>27</v>
      </c>
      <c r="D1128" s="5" t="s">
        <v>28</v>
      </c>
      <c r="E1128" s="5" t="s">
        <v>1095</v>
      </c>
      <c r="F1128" s="9">
        <v>73</v>
      </c>
      <c r="G1128" s="9">
        <v>819</v>
      </c>
      <c r="H1128" s="5" t="s">
        <v>20</v>
      </c>
      <c r="I1128" s="5" t="s">
        <v>2909</v>
      </c>
      <c r="J1128" s="12" t="str">
        <f>HYPERLINK("https://www.boe.es/gazeta/dias/1804/09/11/pdfs/GMD-1804-73.pdf#page=9","Abrir facsímil")</f>
        <v>Abrir facsímil</v>
      </c>
      <c r="K1128" s="15" t="s">
        <v>22</v>
      </c>
    </row>
    <row r="1129" spans="1:11" ht="42" customHeight="1">
      <c r="A1129" s="4" t="s">
        <v>2910</v>
      </c>
      <c r="B1129" s="5" t="s">
        <v>2911</v>
      </c>
      <c r="C1129" s="5" t="s">
        <v>17</v>
      </c>
      <c r="D1129" s="5" t="s">
        <v>18</v>
      </c>
      <c r="E1129" s="5" t="s">
        <v>19</v>
      </c>
      <c r="F1129" s="9">
        <v>60</v>
      </c>
      <c r="G1129" s="9">
        <v>668</v>
      </c>
      <c r="H1129" s="5" t="s">
        <v>20</v>
      </c>
      <c r="I1129" s="5" t="s">
        <v>2912</v>
      </c>
      <c r="J1129" s="12" t="str">
        <f>HYPERLINK("https://www.boe.es/gazeta/dias/1804/07/27/pdfs/GMD-1804-60.pdf#page=10","Abrir facsímil")</f>
        <v>Abrir facsímil</v>
      </c>
      <c r="K1129" s="15" t="s">
        <v>22</v>
      </c>
    </row>
    <row r="1130" spans="1:11" ht="42" customHeight="1">
      <c r="A1130" s="4" t="s">
        <v>2913</v>
      </c>
      <c r="B1130" s="5" t="s">
        <v>2914</v>
      </c>
      <c r="C1130" s="5" t="s">
        <v>65</v>
      </c>
      <c r="D1130" s="5" t="s">
        <v>66</v>
      </c>
      <c r="E1130" s="5" t="s">
        <v>308</v>
      </c>
      <c r="F1130" s="9">
        <v>96</v>
      </c>
      <c r="G1130" s="9">
        <v>1066</v>
      </c>
      <c r="H1130" s="5" t="s">
        <v>20</v>
      </c>
      <c r="I1130" s="5" t="s">
        <v>2915</v>
      </c>
      <c r="J1130" s="12" t="str">
        <f>HYPERLINK("https://www.boe.es/gazeta/dias/1804/11/30/pdfs/GMD-1804-96.pdf#page=6","Abrir facsímil")</f>
        <v>Abrir facsímil</v>
      </c>
      <c r="K1130" s="15" t="s">
        <v>22</v>
      </c>
    </row>
    <row r="1131" spans="1:11" ht="42" customHeight="1">
      <c r="A1131" s="4" t="s">
        <v>2916</v>
      </c>
      <c r="B1131" s="5" t="s">
        <v>2917</v>
      </c>
      <c r="C1131" s="5" t="s">
        <v>17</v>
      </c>
      <c r="D1131" s="5" t="s">
        <v>18</v>
      </c>
      <c r="E1131" s="5" t="s">
        <v>19</v>
      </c>
      <c r="F1131" s="9">
        <v>60</v>
      </c>
      <c r="G1131" s="9">
        <v>668</v>
      </c>
      <c r="H1131" s="5" t="s">
        <v>20</v>
      </c>
      <c r="I1131" s="5" t="s">
        <v>2918</v>
      </c>
      <c r="J1131" s="12" t="str">
        <f>HYPERLINK("https://www.boe.es/gazeta/dias/1804/07/27/pdfs/GMD-1804-60.pdf#page=10","Abrir facsímil")</f>
        <v>Abrir facsímil</v>
      </c>
      <c r="K1131" s="15" t="s">
        <v>22</v>
      </c>
    </row>
    <row r="1132" spans="1:11" ht="42" customHeight="1">
      <c r="A1132" s="4" t="s">
        <v>2919</v>
      </c>
      <c r="B1132" s="5" t="s">
        <v>2920</v>
      </c>
      <c r="C1132" s="5" t="s">
        <v>17</v>
      </c>
      <c r="D1132" s="5" t="s">
        <v>18</v>
      </c>
      <c r="E1132" s="5" t="s">
        <v>216</v>
      </c>
      <c r="F1132" s="9">
        <v>67</v>
      </c>
      <c r="G1132" s="9">
        <v>753</v>
      </c>
      <c r="H1132" s="5" t="s">
        <v>20</v>
      </c>
      <c r="I1132" s="5" t="s">
        <v>2921</v>
      </c>
      <c r="J1132" s="12" t="str">
        <f>HYPERLINK("https://www.boe.es/gazeta/dias/1804/08/21/pdfs/GMD-1804-67.pdf#page=11","Abrir facsímil")</f>
        <v>Abrir facsímil</v>
      </c>
      <c r="K1132" s="15" t="s">
        <v>22</v>
      </c>
    </row>
    <row r="1133" spans="1:11" ht="42" customHeight="1">
      <c r="A1133" s="4" t="s">
        <v>2922</v>
      </c>
      <c r="B1133" s="5" t="s">
        <v>2923</v>
      </c>
      <c r="C1133" s="5" t="s">
        <v>27</v>
      </c>
      <c r="D1133" s="5" t="s">
        <v>28</v>
      </c>
      <c r="E1133" s="5" t="s">
        <v>182</v>
      </c>
      <c r="F1133" s="9">
        <v>21</v>
      </c>
      <c r="G1133" s="9">
        <v>234</v>
      </c>
      <c r="H1133" s="5" t="s">
        <v>20</v>
      </c>
      <c r="I1133" s="5" t="s">
        <v>2924</v>
      </c>
      <c r="J1133" s="12" t="str">
        <f>HYPERLINK("https://www.boe.es/gazeta/dias/1804/03/13/pdfs/GMD-1804-21.pdf#page=10","Abrir facsímil")</f>
        <v>Abrir facsímil</v>
      </c>
      <c r="K1133" s="15" t="s">
        <v>22</v>
      </c>
    </row>
    <row r="1134" spans="1:11" ht="42" customHeight="1">
      <c r="A1134" s="4" t="s">
        <v>2925</v>
      </c>
      <c r="B1134" s="5" t="s">
        <v>2926</v>
      </c>
      <c r="C1134" s="5" t="s">
        <v>27</v>
      </c>
      <c r="D1134" s="5" t="s">
        <v>28</v>
      </c>
      <c r="E1134" s="5" t="s">
        <v>37</v>
      </c>
      <c r="F1134" s="9">
        <v>29</v>
      </c>
      <c r="G1134" s="9">
        <v>319</v>
      </c>
      <c r="H1134" s="5" t="s">
        <v>20</v>
      </c>
      <c r="I1134" s="5" t="s">
        <v>2927</v>
      </c>
      <c r="J1134" s="12" t="str">
        <f>HYPERLINK("https://www.boe.es/gazeta/dias/1804/04/10/pdfs/GMD-1804-29.pdf#page=9","Abrir facsímil")</f>
        <v>Abrir facsímil</v>
      </c>
      <c r="K1134" s="15" t="s">
        <v>22</v>
      </c>
    </row>
    <row r="1135" spans="1:11" ht="42" customHeight="1">
      <c r="A1135" s="4" t="s">
        <v>2928</v>
      </c>
      <c r="B1135" s="5" t="s">
        <v>2929</v>
      </c>
      <c r="C1135" s="5" t="s">
        <v>27</v>
      </c>
      <c r="D1135" s="5" t="s">
        <v>28</v>
      </c>
      <c r="E1135" s="5" t="s">
        <v>526</v>
      </c>
      <c r="F1135" s="9">
        <v>95</v>
      </c>
      <c r="G1135" s="9">
        <v>1055</v>
      </c>
      <c r="H1135" s="5" t="s">
        <v>20</v>
      </c>
      <c r="I1135" s="5" t="s">
        <v>2930</v>
      </c>
      <c r="J1135" s="12" t="str">
        <f>HYPERLINK("https://www.boe.es/gazeta/dias/1804/11/27/pdfs/GMD-1804-95.pdf#page=7","Abrir facsímil")</f>
        <v>Abrir facsímil</v>
      </c>
      <c r="K1135" s="15" t="s">
        <v>22</v>
      </c>
    </row>
    <row r="1136" spans="1:11" ht="42" customHeight="1">
      <c r="A1136" s="4" t="s">
        <v>2931</v>
      </c>
      <c r="B1136" s="5" t="s">
        <v>2932</v>
      </c>
      <c r="C1136" s="5" t="s">
        <v>27</v>
      </c>
      <c r="D1136" s="5" t="s">
        <v>28</v>
      </c>
      <c r="E1136" s="5" t="s">
        <v>736</v>
      </c>
      <c r="F1136" s="9">
        <v>83</v>
      </c>
      <c r="G1136" s="9">
        <v>919</v>
      </c>
      <c r="H1136" s="5" t="s">
        <v>20</v>
      </c>
      <c r="I1136" s="5" t="s">
        <v>2933</v>
      </c>
      <c r="J1136" s="12" t="str">
        <f>HYPERLINK("https://www.boe.es/gazeta/dias/1804/10/16/pdfs/GMD-1804-83.pdf#page=9","Abrir facsímil")</f>
        <v>Abrir facsímil</v>
      </c>
      <c r="K1136" s="15" t="s">
        <v>22</v>
      </c>
    </row>
    <row r="1137" spans="1:11" ht="42" customHeight="1">
      <c r="A1137" s="4" t="s">
        <v>2934</v>
      </c>
      <c r="B1137" s="5" t="s">
        <v>2935</v>
      </c>
      <c r="C1137" s="5" t="s">
        <v>27</v>
      </c>
      <c r="D1137" s="5" t="s">
        <v>28</v>
      </c>
      <c r="E1137" s="5" t="s">
        <v>378</v>
      </c>
      <c r="F1137" s="9">
        <v>65</v>
      </c>
      <c r="G1137" s="9">
        <v>731</v>
      </c>
      <c r="H1137" s="5" t="s">
        <v>20</v>
      </c>
      <c r="I1137" s="5" t="s">
        <v>2936</v>
      </c>
      <c r="J1137" s="12" t="str">
        <f>HYPERLINK("https://www.boe.es/gazeta/dias/1804/08/14/pdfs/GMD-1804-65.pdf#page=9","Abrir facsímil")</f>
        <v>Abrir facsímil</v>
      </c>
      <c r="K1137" s="15" t="s">
        <v>22</v>
      </c>
    </row>
    <row r="1138" spans="1:11" ht="42" customHeight="1">
      <c r="A1138" s="4" t="s">
        <v>2937</v>
      </c>
      <c r="B1138" s="5" t="s">
        <v>2938</v>
      </c>
      <c r="C1138" s="5" t="s">
        <v>27</v>
      </c>
      <c r="D1138" s="5" t="s">
        <v>28</v>
      </c>
      <c r="E1138" s="5" t="s">
        <v>143</v>
      </c>
      <c r="F1138" s="9">
        <v>87</v>
      </c>
      <c r="G1138" s="9">
        <v>968</v>
      </c>
      <c r="H1138" s="5" t="s">
        <v>20</v>
      </c>
      <c r="I1138" s="5" t="s">
        <v>2939</v>
      </c>
      <c r="J1138" s="12" t="str">
        <f>HYPERLINK("https://www.boe.es/gazeta/dias/1804/10/30/pdfs/GMD-1804-87.pdf#page=12","Abrir facsímil")</f>
        <v>Abrir facsímil</v>
      </c>
      <c r="K1138" s="15" t="s">
        <v>22</v>
      </c>
    </row>
    <row r="1139" spans="1:11" ht="42" customHeight="1">
      <c r="A1139" s="4" t="s">
        <v>2940</v>
      </c>
      <c r="B1139" s="5" t="s">
        <v>2941</v>
      </c>
      <c r="C1139" s="5" t="s">
        <v>65</v>
      </c>
      <c r="D1139" s="5" t="s">
        <v>66</v>
      </c>
      <c r="E1139" s="5" t="s">
        <v>163</v>
      </c>
      <c r="F1139" s="9">
        <v>70</v>
      </c>
      <c r="G1139" s="9">
        <v>784</v>
      </c>
      <c r="H1139" s="5" t="s">
        <v>20</v>
      </c>
      <c r="I1139" s="5" t="s">
        <v>2942</v>
      </c>
      <c r="J1139" s="12" t="str">
        <f>HYPERLINK("https://www.boe.es/gazeta/dias/1804/08/31/pdfs/GMD-1804-70.pdf#page=6","Abrir facsímil")</f>
        <v>Abrir facsímil</v>
      </c>
      <c r="K1139" s="15" t="s">
        <v>22</v>
      </c>
    </row>
    <row r="1140" spans="1:11" ht="42" customHeight="1">
      <c r="A1140" s="4" t="s">
        <v>2943</v>
      </c>
      <c r="B1140" s="5" t="s">
        <v>2944</v>
      </c>
      <c r="C1140" s="5" t="s">
        <v>27</v>
      </c>
      <c r="D1140" s="5" t="s">
        <v>28</v>
      </c>
      <c r="E1140" s="5" t="s">
        <v>320</v>
      </c>
      <c r="F1140" s="9">
        <v>31</v>
      </c>
      <c r="G1140" s="9">
        <v>343</v>
      </c>
      <c r="H1140" s="5" t="s">
        <v>20</v>
      </c>
      <c r="I1140" s="5" t="s">
        <v>2945</v>
      </c>
      <c r="J1140" s="12" t="str">
        <f>HYPERLINK("https://www.boe.es/gazeta/dias/1804/04/17/pdfs/GMD-1804-31.pdf#page=9","Abrir facsímil")</f>
        <v>Abrir facsímil</v>
      </c>
      <c r="K1140" s="15" t="s">
        <v>22</v>
      </c>
    </row>
    <row r="1141" spans="1:11" ht="42" customHeight="1">
      <c r="A1141" s="4" t="s">
        <v>2946</v>
      </c>
      <c r="B1141" s="5" t="s">
        <v>2947</v>
      </c>
      <c r="C1141" s="5" t="s">
        <v>57</v>
      </c>
      <c r="D1141" s="5" t="s">
        <v>58</v>
      </c>
      <c r="E1141" s="5" t="s">
        <v>208</v>
      </c>
      <c r="F1141" s="9">
        <v>97</v>
      </c>
      <c r="G1141" s="9">
        <v>1076</v>
      </c>
      <c r="H1141" s="5" t="s">
        <v>20</v>
      </c>
      <c r="I1141" s="5" t="s">
        <v>2948</v>
      </c>
      <c r="J1141" s="12" t="str">
        <f>HYPERLINK("https://www.boe.es/gazeta/dias/1804/12/04/pdfs/GMD-1804-97.pdf#page=4","Abrir facsímil")</f>
        <v>Abrir facsímil</v>
      </c>
      <c r="K1141" s="15" t="s">
        <v>22</v>
      </c>
    </row>
    <row r="1142" spans="1:11" ht="42" customHeight="1">
      <c r="A1142" s="4" t="s">
        <v>2949</v>
      </c>
      <c r="B1142" s="5" t="s">
        <v>2950</v>
      </c>
      <c r="C1142" s="5" t="s">
        <v>27</v>
      </c>
      <c r="D1142" s="5" t="s">
        <v>28</v>
      </c>
      <c r="E1142" s="5" t="s">
        <v>182</v>
      </c>
      <c r="F1142" s="9">
        <v>21</v>
      </c>
      <c r="G1142" s="9">
        <v>234</v>
      </c>
      <c r="H1142" s="5" t="s">
        <v>20</v>
      </c>
      <c r="I1142" s="5" t="s">
        <v>2951</v>
      </c>
      <c r="J1142" s="12" t="str">
        <f>HYPERLINK("https://www.boe.es/gazeta/dias/1804/03/13/pdfs/GMD-1804-21.pdf#page=10","Abrir facsímil")</f>
        <v>Abrir facsímil</v>
      </c>
      <c r="K1142" s="15" t="s">
        <v>22</v>
      </c>
    </row>
    <row r="1143" spans="1:11" ht="42" customHeight="1">
      <c r="A1143" s="4" t="s">
        <v>2952</v>
      </c>
      <c r="B1143" s="5" t="s">
        <v>2953</v>
      </c>
      <c r="C1143" s="5" t="s">
        <v>17</v>
      </c>
      <c r="D1143" s="5" t="s">
        <v>18</v>
      </c>
      <c r="E1143" s="5" t="s">
        <v>388</v>
      </c>
      <c r="F1143" s="9">
        <v>18</v>
      </c>
      <c r="G1143" s="9">
        <v>200</v>
      </c>
      <c r="H1143" s="5" t="s">
        <v>20</v>
      </c>
      <c r="I1143" s="5" t="s">
        <v>2954</v>
      </c>
      <c r="J1143" s="12" t="str">
        <f>HYPERLINK("https://www.boe.es/gazeta/dias/1804/03/02/pdfs/GMD-1804-18.pdf#page=12","Abrir facsímil")</f>
        <v>Abrir facsímil</v>
      </c>
      <c r="K1143" s="15" t="s">
        <v>22</v>
      </c>
    </row>
    <row r="1144" spans="1:11" ht="42" customHeight="1">
      <c r="A1144" s="4" t="s">
        <v>2955</v>
      </c>
      <c r="B1144" s="5" t="s">
        <v>2956</v>
      </c>
      <c r="C1144" s="5" t="s">
        <v>27</v>
      </c>
      <c r="D1144" s="5" t="s">
        <v>28</v>
      </c>
      <c r="E1144" s="5" t="s">
        <v>538</v>
      </c>
      <c r="F1144" s="9">
        <v>27</v>
      </c>
      <c r="G1144" s="9">
        <v>300</v>
      </c>
      <c r="H1144" s="5" t="s">
        <v>20</v>
      </c>
      <c r="I1144" s="5" t="s">
        <v>2957</v>
      </c>
      <c r="J1144" s="12" t="str">
        <f>HYPERLINK("https://www.boe.es/gazeta/dias/1804/04/03/pdfs/GMD-1804-27.pdf#page=6","Abrir facsímil")</f>
        <v>Abrir facsímil</v>
      </c>
      <c r="K1144" s="15" t="s">
        <v>22</v>
      </c>
    </row>
    <row r="1145" spans="1:11" ht="42" customHeight="1">
      <c r="A1145" s="4" t="s">
        <v>2958</v>
      </c>
      <c r="B1145" s="5" t="s">
        <v>2959</v>
      </c>
      <c r="C1145" s="5" t="s">
        <v>27</v>
      </c>
      <c r="D1145" s="5" t="s">
        <v>28</v>
      </c>
      <c r="E1145" s="5" t="s">
        <v>208</v>
      </c>
      <c r="F1145" s="9">
        <v>97</v>
      </c>
      <c r="G1145" s="9">
        <v>1082</v>
      </c>
      <c r="H1145" s="5" t="s">
        <v>20</v>
      </c>
      <c r="I1145" s="5" t="s">
        <v>2960</v>
      </c>
      <c r="J1145" s="12" t="str">
        <f>HYPERLINK("https://www.boe.es/gazeta/dias/1804/12/04/pdfs/GMD-1804-97.pdf#page=10","Abrir facsímil")</f>
        <v>Abrir facsímil</v>
      </c>
      <c r="K1145" s="15" t="s">
        <v>22</v>
      </c>
    </row>
    <row r="1146" spans="1:11" ht="42" customHeight="1">
      <c r="A1146" s="4" t="s">
        <v>2961</v>
      </c>
      <c r="B1146" s="5" t="s">
        <v>2962</v>
      </c>
      <c r="C1146" s="5" t="s">
        <v>27</v>
      </c>
      <c r="D1146" s="5" t="s">
        <v>28</v>
      </c>
      <c r="E1146" s="5" t="s">
        <v>308</v>
      </c>
      <c r="F1146" s="9">
        <v>96</v>
      </c>
      <c r="G1146" s="9">
        <v>1066</v>
      </c>
      <c r="H1146" s="5" t="s">
        <v>20</v>
      </c>
      <c r="I1146" s="5" t="s">
        <v>2963</v>
      </c>
      <c r="J1146" s="12" t="str">
        <f>HYPERLINK("https://www.boe.es/gazeta/dias/1804/11/30/pdfs/GMD-1804-96.pdf#page=6","Abrir facsímil")</f>
        <v>Abrir facsímil</v>
      </c>
      <c r="K1146" s="15" t="s">
        <v>22</v>
      </c>
    </row>
    <row r="1147" spans="1:11" ht="42" customHeight="1">
      <c r="A1147" s="4" t="s">
        <v>2964</v>
      </c>
      <c r="B1147" s="5" t="s">
        <v>2965</v>
      </c>
      <c r="C1147" s="5" t="s">
        <v>17</v>
      </c>
      <c r="D1147" s="5" t="s">
        <v>18</v>
      </c>
      <c r="E1147" s="5" t="s">
        <v>175</v>
      </c>
      <c r="F1147" s="9">
        <v>58</v>
      </c>
      <c r="G1147" s="9">
        <v>643</v>
      </c>
      <c r="H1147" s="5" t="s">
        <v>20</v>
      </c>
      <c r="I1147" s="5" t="s">
        <v>2966</v>
      </c>
      <c r="J1147" s="12" t="str">
        <f>HYPERLINK("https://www.boe.es/gazeta/dias/1804/07/20/pdfs/GMD-1804-58.pdf#page=9","Abrir facsímil")</f>
        <v>Abrir facsímil</v>
      </c>
      <c r="K1147" s="15" t="s">
        <v>22</v>
      </c>
    </row>
    <row r="1148" spans="1:11" ht="42" customHeight="1">
      <c r="A1148" s="4" t="s">
        <v>2967</v>
      </c>
      <c r="B1148" s="5" t="s">
        <v>2968</v>
      </c>
      <c r="C1148" s="5" t="s">
        <v>27</v>
      </c>
      <c r="D1148" s="5" t="s">
        <v>28</v>
      </c>
      <c r="E1148" s="5" t="s">
        <v>37</v>
      </c>
      <c r="F1148" s="9">
        <v>29</v>
      </c>
      <c r="G1148" s="9">
        <v>319</v>
      </c>
      <c r="H1148" s="5" t="s">
        <v>20</v>
      </c>
      <c r="I1148" s="5" t="s">
        <v>2969</v>
      </c>
      <c r="J1148" s="12" t="str">
        <f>HYPERLINK("https://www.boe.es/gazeta/dias/1804/04/10/pdfs/GMD-1804-29.pdf#page=9","Abrir facsímil")</f>
        <v>Abrir facsímil</v>
      </c>
      <c r="K1148" s="15" t="s">
        <v>22</v>
      </c>
    </row>
    <row r="1149" spans="1:11" ht="42" customHeight="1">
      <c r="A1149" s="4" t="s">
        <v>2970</v>
      </c>
      <c r="B1149" s="5" t="s">
        <v>2971</v>
      </c>
      <c r="C1149" s="5" t="s">
        <v>27</v>
      </c>
      <c r="D1149" s="5" t="s">
        <v>28</v>
      </c>
      <c r="E1149" s="5" t="s">
        <v>136</v>
      </c>
      <c r="F1149" s="9">
        <v>23</v>
      </c>
      <c r="G1149" s="9">
        <v>257</v>
      </c>
      <c r="H1149" s="5" t="s">
        <v>20</v>
      </c>
      <c r="I1149" s="5" t="s">
        <v>2972</v>
      </c>
      <c r="J1149" s="12" t="str">
        <f>HYPERLINK("https://www.boe.es/gazeta/dias/1804/03/20/pdfs/GMD-1804-23.pdf#page=3","Abrir facsímil")</f>
        <v>Abrir facsímil</v>
      </c>
      <c r="K1149" s="15" t="s">
        <v>22</v>
      </c>
    </row>
    <row r="1150" spans="1:11" ht="42" customHeight="1">
      <c r="A1150" s="4" t="s">
        <v>2973</v>
      </c>
      <c r="B1150" s="5" t="s">
        <v>2974</v>
      </c>
      <c r="C1150" s="5" t="s">
        <v>198</v>
      </c>
      <c r="D1150" s="5" t="s">
        <v>66</v>
      </c>
      <c r="E1150" s="5" t="s">
        <v>54</v>
      </c>
      <c r="F1150" s="9">
        <v>63</v>
      </c>
      <c r="G1150" s="9">
        <v>701</v>
      </c>
      <c r="H1150" s="5" t="s">
        <v>20</v>
      </c>
      <c r="I1150" s="5" t="s">
        <v>2975</v>
      </c>
      <c r="J1150" s="12" t="str">
        <f>HYPERLINK("https://www.boe.es/gazeta/dias/1804/08/07/pdfs/GMD-1804-63.pdf#page=11","Abrir facsímil")</f>
        <v>Abrir facsímil</v>
      </c>
      <c r="K1150" s="15" t="s">
        <v>22</v>
      </c>
    </row>
    <row r="1151" spans="1:11" ht="42" customHeight="1">
      <c r="A1151" s="4" t="s">
        <v>2976</v>
      </c>
      <c r="B1151" s="5" t="s">
        <v>2977</v>
      </c>
      <c r="C1151" s="5" t="s">
        <v>85</v>
      </c>
      <c r="D1151" s="5" t="s">
        <v>86</v>
      </c>
      <c r="E1151" s="5" t="s">
        <v>43</v>
      </c>
      <c r="F1151" s="9">
        <v>84</v>
      </c>
      <c r="G1151" s="9">
        <v>930</v>
      </c>
      <c r="H1151" s="5" t="s">
        <v>20</v>
      </c>
      <c r="I1151" s="5" t="s">
        <v>2978</v>
      </c>
      <c r="J1151" s="12" t="str">
        <f>HYPERLINK("https://www.boe.es/gazeta/dias/1804/10/19/pdfs/GMD-1804-84.pdf#page=8","Abrir facsímil")</f>
        <v>Abrir facsímil</v>
      </c>
      <c r="K1151" s="15" t="s">
        <v>22</v>
      </c>
    </row>
    <row r="1152" spans="1:11" ht="42" customHeight="1">
      <c r="A1152" s="4" t="s">
        <v>2979</v>
      </c>
      <c r="B1152" s="5" t="s">
        <v>2980</v>
      </c>
      <c r="C1152" s="5" t="s">
        <v>198</v>
      </c>
      <c r="D1152" s="5" t="s">
        <v>66</v>
      </c>
      <c r="E1152" s="5" t="s">
        <v>191</v>
      </c>
      <c r="F1152" s="9">
        <v>101</v>
      </c>
      <c r="G1152" s="9">
        <v>1130</v>
      </c>
      <c r="H1152" s="5" t="s">
        <v>20</v>
      </c>
      <c r="I1152" s="5" t="s">
        <v>2981</v>
      </c>
      <c r="J1152" s="12" t="str">
        <f>HYPERLINK("https://www.boe.es/gazeta/dias/1804/12/18/pdfs/GMD-1804-101.pdf#page=10","Abrir facsímil")</f>
        <v>Abrir facsímil</v>
      </c>
      <c r="K1152" s="15" t="s">
        <v>22</v>
      </c>
    </row>
    <row r="1153" spans="1:11" ht="42" customHeight="1">
      <c r="A1153" s="4" t="s">
        <v>2982</v>
      </c>
      <c r="B1153" s="5" t="s">
        <v>2983</v>
      </c>
      <c r="C1153" s="5" t="s">
        <v>65</v>
      </c>
      <c r="D1153" s="5" t="s">
        <v>66</v>
      </c>
      <c r="E1153" s="5" t="s">
        <v>547</v>
      </c>
      <c r="F1153" s="9">
        <v>68</v>
      </c>
      <c r="G1153" s="9">
        <v>766</v>
      </c>
      <c r="H1153" s="5" t="s">
        <v>20</v>
      </c>
      <c r="I1153" s="5" t="s">
        <v>2984</v>
      </c>
      <c r="J1153" s="12" t="str">
        <f>HYPERLINK("https://www.boe.es/gazeta/dias/1804/08/24/pdfs/GMD-1804-68.pdf#page=12","Abrir facsímil")</f>
        <v>Abrir facsímil</v>
      </c>
      <c r="K1153" s="15" t="s">
        <v>22</v>
      </c>
    </row>
    <row r="1154" spans="1:11" ht="42" customHeight="1">
      <c r="A1154" s="4" t="s">
        <v>2982</v>
      </c>
      <c r="B1154" s="5" t="s">
        <v>2983</v>
      </c>
      <c r="C1154" s="5" t="s">
        <v>198</v>
      </c>
      <c r="D1154" s="5" t="s">
        <v>66</v>
      </c>
      <c r="E1154" s="5" t="s">
        <v>191</v>
      </c>
      <c r="F1154" s="9">
        <v>101</v>
      </c>
      <c r="G1154" s="9">
        <v>1130</v>
      </c>
      <c r="H1154" s="5" t="s">
        <v>20</v>
      </c>
      <c r="I1154" s="5" t="s">
        <v>2985</v>
      </c>
      <c r="J1154" s="12" t="str">
        <f>HYPERLINK("https://www.boe.es/gazeta/dias/1804/12/18/pdfs/GMD-1804-101.pdf#page=10","Abrir facsímil")</f>
        <v>Abrir facsímil</v>
      </c>
      <c r="K1154" s="15" t="s">
        <v>22</v>
      </c>
    </row>
    <row r="1155" spans="1:11" ht="42" customHeight="1">
      <c r="A1155" s="4" t="s">
        <v>2986</v>
      </c>
      <c r="B1155" s="5" t="s">
        <v>2987</v>
      </c>
      <c r="C1155" s="5" t="s">
        <v>198</v>
      </c>
      <c r="D1155" s="5" t="s">
        <v>66</v>
      </c>
      <c r="E1155" s="5" t="s">
        <v>54</v>
      </c>
      <c r="F1155" s="9">
        <v>63</v>
      </c>
      <c r="G1155" s="9">
        <v>702</v>
      </c>
      <c r="H1155" s="5" t="s">
        <v>20</v>
      </c>
      <c r="I1155" s="5" t="s">
        <v>2988</v>
      </c>
      <c r="J1155" s="12" t="str">
        <f>HYPERLINK("https://www.boe.es/gazeta/dias/1804/08/07/pdfs/GMD-1804-63.pdf#page=12","Abrir facsímil")</f>
        <v>Abrir facsímil</v>
      </c>
      <c r="K1155" s="15" t="s">
        <v>22</v>
      </c>
    </row>
    <row r="1156" spans="1:11" ht="42" customHeight="1">
      <c r="A1156" s="4" t="s">
        <v>2989</v>
      </c>
      <c r="B1156" s="5" t="s">
        <v>2990</v>
      </c>
      <c r="C1156" s="5" t="s">
        <v>57</v>
      </c>
      <c r="D1156" s="5" t="s">
        <v>58</v>
      </c>
      <c r="E1156" s="5" t="s">
        <v>251</v>
      </c>
      <c r="F1156" s="9">
        <v>79</v>
      </c>
      <c r="G1156" s="9">
        <v>874</v>
      </c>
      <c r="H1156" s="5" t="s">
        <v>20</v>
      </c>
      <c r="I1156" s="5" t="s">
        <v>2991</v>
      </c>
      <c r="J1156" s="12" t="str">
        <f>HYPERLINK("https://www.boe.es/gazeta/dias/1804/10/02/pdfs/GMD-1804-79.pdf#page=4","Abrir facsímil")</f>
        <v>Abrir facsímil</v>
      </c>
      <c r="K1156" s="15" t="s">
        <v>22</v>
      </c>
    </row>
    <row r="1157" spans="1:11" ht="42" customHeight="1">
      <c r="A1157" s="4" t="s">
        <v>2992</v>
      </c>
      <c r="B1157" s="5" t="s">
        <v>2993</v>
      </c>
      <c r="C1157" s="5" t="s">
        <v>57</v>
      </c>
      <c r="D1157" s="5" t="s">
        <v>58</v>
      </c>
      <c r="E1157" s="5" t="s">
        <v>199</v>
      </c>
      <c r="F1157" s="9">
        <v>46</v>
      </c>
      <c r="G1157" s="9">
        <v>504</v>
      </c>
      <c r="H1157" s="5" t="s">
        <v>20</v>
      </c>
      <c r="I1157" s="5" t="s">
        <v>2994</v>
      </c>
      <c r="J1157" s="12" t="str">
        <f>HYPERLINK("https://www.boe.es/gazeta/dias/1804/06/08/pdfs/GMD-1804-46.pdf#page=2","Abrir facsímil")</f>
        <v>Abrir facsímil</v>
      </c>
      <c r="K1157" s="15" t="s">
        <v>22</v>
      </c>
    </row>
    <row r="1158" spans="1:11" ht="42" customHeight="1">
      <c r="A1158" s="4" t="s">
        <v>2995</v>
      </c>
      <c r="B1158" s="5" t="s">
        <v>2996</v>
      </c>
      <c r="C1158" s="5" t="s">
        <v>198</v>
      </c>
      <c r="D1158" s="5" t="s">
        <v>66</v>
      </c>
      <c r="E1158" s="5" t="s">
        <v>111</v>
      </c>
      <c r="F1158" s="9">
        <v>40</v>
      </c>
      <c r="G1158" s="9">
        <v>450</v>
      </c>
      <c r="H1158" s="5" t="s">
        <v>20</v>
      </c>
      <c r="I1158" s="5" t="s">
        <v>2997</v>
      </c>
      <c r="J1158" s="12" t="str">
        <f>HYPERLINK("https://www.boe.es/gazeta/dias/1804/05/18/pdfs/GMD-1804-40.pdf#page=12","Abrir facsímil")</f>
        <v>Abrir facsímil</v>
      </c>
      <c r="K1158" s="15" t="s">
        <v>22</v>
      </c>
    </row>
    <row r="1159" spans="1:11" ht="42" customHeight="1">
      <c r="A1159" s="4" t="s">
        <v>2998</v>
      </c>
      <c r="B1159" s="5" t="s">
        <v>2999</v>
      </c>
      <c r="C1159" s="5" t="s">
        <v>17</v>
      </c>
      <c r="D1159" s="5" t="s">
        <v>18</v>
      </c>
      <c r="E1159" s="5" t="s">
        <v>421</v>
      </c>
      <c r="F1159" s="9">
        <v>47</v>
      </c>
      <c r="G1159" s="9">
        <v>528</v>
      </c>
      <c r="H1159" s="5" t="s">
        <v>20</v>
      </c>
      <c r="I1159" s="5" t="s">
        <v>3000</v>
      </c>
      <c r="J1159" s="12" t="str">
        <f>HYPERLINK("https://www.boe.es/gazeta/dias/1804/06/12/pdfs/GMD-1804-47.pdf#page=10","Abrir facsímil")</f>
        <v>Abrir facsímil</v>
      </c>
      <c r="K1159" s="15" t="s">
        <v>22</v>
      </c>
    </row>
    <row r="1160" spans="1:11" ht="42" customHeight="1">
      <c r="A1160" s="4" t="s">
        <v>3001</v>
      </c>
      <c r="B1160" s="5" t="s">
        <v>3002</v>
      </c>
      <c r="C1160" s="5" t="s">
        <v>17</v>
      </c>
      <c r="D1160" s="5" t="s">
        <v>18</v>
      </c>
      <c r="E1160" s="5" t="s">
        <v>132</v>
      </c>
      <c r="F1160" s="9">
        <v>52</v>
      </c>
      <c r="G1160" s="9">
        <v>576</v>
      </c>
      <c r="H1160" s="5" t="s">
        <v>20</v>
      </c>
      <c r="I1160" s="5" t="s">
        <v>3003</v>
      </c>
      <c r="J1160" s="12" t="str">
        <f>HYPERLINK("https://www.boe.es/gazeta/dias/1804/06/29/pdfs/GMD-1804-52.pdf#page=10","Abrir facsímil")</f>
        <v>Abrir facsímil</v>
      </c>
      <c r="K1160" s="15" t="s">
        <v>22</v>
      </c>
    </row>
    <row r="1161" spans="1:11" ht="42" customHeight="1">
      <c r="A1161" s="4" t="s">
        <v>3004</v>
      </c>
      <c r="B1161" s="5" t="s">
        <v>3005</v>
      </c>
      <c r="C1161" s="5" t="s">
        <v>27</v>
      </c>
      <c r="D1161" s="5" t="s">
        <v>28</v>
      </c>
      <c r="E1161" s="5" t="s">
        <v>132</v>
      </c>
      <c r="F1161" s="9">
        <v>52</v>
      </c>
      <c r="G1161" s="9">
        <v>573</v>
      </c>
      <c r="H1161" s="5" t="s">
        <v>20</v>
      </c>
      <c r="I1161" s="5" t="s">
        <v>3006</v>
      </c>
      <c r="J1161" s="12" t="str">
        <f>HYPERLINK("https://www.boe.es/gazeta/dias/1804/06/29/pdfs/GMD-1804-52.pdf#page=7","Abrir facsímil")</f>
        <v>Abrir facsímil</v>
      </c>
      <c r="K1161" s="15" t="s">
        <v>22</v>
      </c>
    </row>
    <row r="1162" spans="1:11" ht="42" customHeight="1">
      <c r="A1162" s="4" t="s">
        <v>3007</v>
      </c>
      <c r="B1162" s="5" t="s">
        <v>3008</v>
      </c>
      <c r="C1162" s="5" t="s">
        <v>27</v>
      </c>
      <c r="D1162" s="5" t="s">
        <v>28</v>
      </c>
      <c r="E1162" s="5" t="s">
        <v>670</v>
      </c>
      <c r="F1162" s="9">
        <v>41</v>
      </c>
      <c r="G1162" s="9">
        <v>458</v>
      </c>
      <c r="H1162" s="5" t="s">
        <v>20</v>
      </c>
      <c r="I1162" s="5" t="s">
        <v>3009</v>
      </c>
      <c r="J1162" s="12" t="str">
        <f>HYPERLINK("https://www.boe.es/gazeta/dias/1804/05/22/pdfs/GMD-1804-41.pdf#page=8","Abrir facsímil")</f>
        <v>Abrir facsímil</v>
      </c>
      <c r="K1162" s="15" t="s">
        <v>22</v>
      </c>
    </row>
    <row r="1163" spans="1:11" ht="42" customHeight="1">
      <c r="A1163" s="4" t="s">
        <v>3010</v>
      </c>
      <c r="B1163" s="5" t="s">
        <v>3011</v>
      </c>
      <c r="C1163" s="5" t="s">
        <v>17</v>
      </c>
      <c r="D1163" s="5" t="s">
        <v>18</v>
      </c>
      <c r="E1163" s="5" t="s">
        <v>143</v>
      </c>
      <c r="F1163" s="9">
        <v>87</v>
      </c>
      <c r="G1163" s="9">
        <v>965</v>
      </c>
      <c r="H1163" s="5" t="s">
        <v>20</v>
      </c>
      <c r="I1163" s="5" t="s">
        <v>3012</v>
      </c>
      <c r="J1163" s="12" t="str">
        <f>HYPERLINK("https://www.boe.es/gazeta/dias/1804/10/30/pdfs/GMD-1804-87.pdf#page=9","Abrir facsímil")</f>
        <v>Abrir facsímil</v>
      </c>
      <c r="K1163" s="15" t="s">
        <v>22</v>
      </c>
    </row>
    <row r="1164" spans="1:11" ht="42" customHeight="1">
      <c r="A1164" s="4" t="s">
        <v>3013</v>
      </c>
      <c r="B1164" s="5" t="s">
        <v>3014</v>
      </c>
      <c r="C1164" s="5" t="s">
        <v>85</v>
      </c>
      <c r="D1164" s="5" t="s">
        <v>86</v>
      </c>
      <c r="E1164" s="5" t="s">
        <v>427</v>
      </c>
      <c r="F1164" s="9">
        <v>80</v>
      </c>
      <c r="G1164" s="9">
        <v>890</v>
      </c>
      <c r="H1164" s="5" t="s">
        <v>20</v>
      </c>
      <c r="I1164" s="5" t="s">
        <v>3015</v>
      </c>
      <c r="J1164" s="12" t="str">
        <f>HYPERLINK("https://www.boe.es/gazeta/dias/1804/10/05/pdfs/GMD-1804-80.pdf#page=8","Abrir facsímil")</f>
        <v>Abrir facsímil</v>
      </c>
      <c r="K1164" s="15" t="s">
        <v>22</v>
      </c>
    </row>
    <row r="1165" spans="1:11" ht="42" customHeight="1">
      <c r="A1165" s="4" t="s">
        <v>3016</v>
      </c>
      <c r="B1165" s="5" t="s">
        <v>3017</v>
      </c>
      <c r="C1165" s="5" t="s">
        <v>85</v>
      </c>
      <c r="D1165" s="5" t="s">
        <v>86</v>
      </c>
      <c r="E1165" s="5" t="s">
        <v>308</v>
      </c>
      <c r="F1165" s="9">
        <v>96</v>
      </c>
      <c r="G1165" s="9">
        <v>1069</v>
      </c>
      <c r="H1165" s="5" t="s">
        <v>20</v>
      </c>
      <c r="I1165" s="5" t="s">
        <v>3018</v>
      </c>
      <c r="J1165" s="12" t="str">
        <f>HYPERLINK("https://www.boe.es/gazeta/dias/1804/11/30/pdfs/GMD-1804-96.pdf#page=9","Abrir facsímil")</f>
        <v>Abrir facsímil</v>
      </c>
      <c r="K1165" s="15" t="s">
        <v>22</v>
      </c>
    </row>
    <row r="1166" spans="1:11" ht="42" customHeight="1">
      <c r="A1166" s="4" t="s">
        <v>3019</v>
      </c>
      <c r="B1166" s="5" t="s">
        <v>3020</v>
      </c>
      <c r="C1166" s="5" t="s">
        <v>17</v>
      </c>
      <c r="D1166" s="5" t="s">
        <v>18</v>
      </c>
      <c r="E1166" s="5" t="s">
        <v>637</v>
      </c>
      <c r="F1166" s="9">
        <v>74</v>
      </c>
      <c r="G1166" s="9">
        <v>831</v>
      </c>
      <c r="H1166" s="5" t="s">
        <v>20</v>
      </c>
      <c r="I1166" s="5" t="s">
        <v>3021</v>
      </c>
      <c r="J1166" s="12" t="str">
        <f>HYPERLINK("https://www.boe.es/gazeta/dias/1804/09/14/pdfs/GMD-1804-74.pdf#page=9","Abrir facsímil")</f>
        <v>Abrir facsímil</v>
      </c>
      <c r="K1166" s="15" t="s">
        <v>22</v>
      </c>
    </row>
    <row r="1167" spans="1:11" ht="42" customHeight="1">
      <c r="A1167" s="4" t="s">
        <v>3022</v>
      </c>
      <c r="B1167" s="5" t="s">
        <v>3023</v>
      </c>
      <c r="C1167" s="5" t="s">
        <v>27</v>
      </c>
      <c r="D1167" s="5" t="s">
        <v>28</v>
      </c>
      <c r="E1167" s="5" t="s">
        <v>388</v>
      </c>
      <c r="F1167" s="9">
        <v>18</v>
      </c>
      <c r="G1167" s="9">
        <v>198</v>
      </c>
      <c r="H1167" s="5" t="s">
        <v>20</v>
      </c>
      <c r="I1167" s="5" t="s">
        <v>3024</v>
      </c>
      <c r="J1167" s="12" t="str">
        <f>HYPERLINK("https://www.boe.es/gazeta/dias/1804/03/02/pdfs/GMD-1804-18.pdf#page=10","Abrir facsímil")</f>
        <v>Abrir facsímil</v>
      </c>
      <c r="K1167" s="15" t="s">
        <v>22</v>
      </c>
    </row>
    <row r="1168" spans="1:11" ht="42" customHeight="1">
      <c r="A1168" s="4" t="s">
        <v>3025</v>
      </c>
      <c r="B1168" s="5" t="s">
        <v>3026</v>
      </c>
      <c r="C1168" s="5" t="s">
        <v>27</v>
      </c>
      <c r="D1168" s="5" t="s">
        <v>28</v>
      </c>
      <c r="E1168" s="5" t="s">
        <v>623</v>
      </c>
      <c r="F1168" s="9">
        <v>51</v>
      </c>
      <c r="G1168" s="9">
        <v>561</v>
      </c>
      <c r="H1168" s="5" t="s">
        <v>20</v>
      </c>
      <c r="I1168" s="5" t="s">
        <v>3027</v>
      </c>
      <c r="J1168" s="12" t="str">
        <f>HYPERLINK("https://www.boe.es/gazeta/dias/1804/06/26/pdfs/GMD-1804-51.pdf#page=7","Abrir facsímil")</f>
        <v>Abrir facsímil</v>
      </c>
      <c r="K1168" s="15" t="s">
        <v>22</v>
      </c>
    </row>
    <row r="1169" spans="1:11" ht="42" customHeight="1">
      <c r="A1169" s="4" t="s">
        <v>3028</v>
      </c>
      <c r="B1169" s="5" t="s">
        <v>3029</v>
      </c>
      <c r="C1169" s="5" t="s">
        <v>27</v>
      </c>
      <c r="D1169" s="5" t="s">
        <v>28</v>
      </c>
      <c r="E1169" s="5" t="s">
        <v>230</v>
      </c>
      <c r="F1169" s="9">
        <v>26</v>
      </c>
      <c r="G1169" s="9">
        <v>294</v>
      </c>
      <c r="H1169" s="5" t="s">
        <v>20</v>
      </c>
      <c r="I1169" s="5" t="s">
        <v>3030</v>
      </c>
      <c r="J1169" s="12" t="str">
        <f>HYPERLINK("https://www.boe.es/gazeta/dias/1804/03/30/pdfs/GMD-1804-26.pdf#page=8","Abrir facsímil")</f>
        <v>Abrir facsímil</v>
      </c>
      <c r="K1169" s="15" t="s">
        <v>22</v>
      </c>
    </row>
    <row r="1170" spans="1:11" ht="42" customHeight="1">
      <c r="A1170" s="4" t="s">
        <v>3031</v>
      </c>
      <c r="B1170" s="5" t="s">
        <v>3032</v>
      </c>
      <c r="C1170" s="5" t="s">
        <v>27</v>
      </c>
      <c r="D1170" s="5" t="s">
        <v>28</v>
      </c>
      <c r="E1170" s="5" t="s">
        <v>19</v>
      </c>
      <c r="F1170" s="9">
        <v>60</v>
      </c>
      <c r="G1170" s="9">
        <v>665</v>
      </c>
      <c r="H1170" s="5" t="s">
        <v>20</v>
      </c>
      <c r="I1170" s="5" t="s">
        <v>3033</v>
      </c>
      <c r="J1170" s="12" t="str">
        <f>HYPERLINK("https://www.boe.es/gazeta/dias/1804/07/27/pdfs/GMD-1804-60.pdf#page=7","Abrir facsímil")</f>
        <v>Abrir facsímil</v>
      </c>
      <c r="K1170" s="15" t="s">
        <v>22</v>
      </c>
    </row>
    <row r="1171" spans="1:11" ht="42" customHeight="1">
      <c r="A1171" s="4" t="s">
        <v>3034</v>
      </c>
      <c r="B1171" s="5" t="s">
        <v>3035</v>
      </c>
      <c r="C1171" s="5" t="s">
        <v>27</v>
      </c>
      <c r="D1171" s="5" t="s">
        <v>28</v>
      </c>
      <c r="E1171" s="5" t="s">
        <v>666</v>
      </c>
      <c r="F1171" s="9">
        <v>57</v>
      </c>
      <c r="G1171" s="9">
        <v>633</v>
      </c>
      <c r="H1171" s="5" t="s">
        <v>20</v>
      </c>
      <c r="I1171" s="5" t="s">
        <v>3036</v>
      </c>
      <c r="J1171" s="12" t="str">
        <f>HYPERLINK("https://www.boe.es/gazeta/dias/1804/07/17/pdfs/GMD-1804-57.pdf#page=11","Abrir facsímil")</f>
        <v>Abrir facsímil</v>
      </c>
      <c r="K1171" s="15" t="s">
        <v>22</v>
      </c>
    </row>
    <row r="1172" spans="1:11" ht="42" customHeight="1">
      <c r="A1172" s="4" t="s">
        <v>3037</v>
      </c>
      <c r="B1172" s="5" t="s">
        <v>3038</v>
      </c>
      <c r="C1172" s="5" t="s">
        <v>27</v>
      </c>
      <c r="D1172" s="5" t="s">
        <v>28</v>
      </c>
      <c r="E1172" s="5" t="s">
        <v>388</v>
      </c>
      <c r="F1172" s="9">
        <v>18</v>
      </c>
      <c r="G1172" s="9">
        <v>198</v>
      </c>
      <c r="H1172" s="5" t="s">
        <v>20</v>
      </c>
      <c r="I1172" s="5" t="s">
        <v>3039</v>
      </c>
      <c r="J1172" s="12" t="str">
        <f>HYPERLINK("https://www.boe.es/gazeta/dias/1804/03/02/pdfs/GMD-1804-18.pdf#page=10","Abrir facsímil")</f>
        <v>Abrir facsímil</v>
      </c>
      <c r="K1172" s="15" t="s">
        <v>22</v>
      </c>
    </row>
    <row r="1173" spans="1:11" ht="42" customHeight="1">
      <c r="A1173" s="4" t="s">
        <v>3040</v>
      </c>
      <c r="B1173" s="5" t="s">
        <v>3041</v>
      </c>
      <c r="C1173" s="5" t="s">
        <v>17</v>
      </c>
      <c r="D1173" s="5" t="s">
        <v>18</v>
      </c>
      <c r="E1173" s="5" t="s">
        <v>163</v>
      </c>
      <c r="F1173" s="9">
        <v>70</v>
      </c>
      <c r="G1173" s="9">
        <v>783</v>
      </c>
      <c r="H1173" s="5" t="s">
        <v>20</v>
      </c>
      <c r="I1173" s="5" t="s">
        <v>3042</v>
      </c>
      <c r="J1173" s="12" t="str">
        <f>HYPERLINK("https://www.boe.es/gazeta/dias/1804/08/31/pdfs/GMD-1804-70.pdf#page=5","Abrir facsímil")</f>
        <v>Abrir facsímil</v>
      </c>
      <c r="K1173" s="15" t="s">
        <v>22</v>
      </c>
    </row>
    <row r="1174" spans="1:11" ht="42" customHeight="1">
      <c r="A1174" s="4" t="s">
        <v>3043</v>
      </c>
      <c r="B1174" s="5" t="s">
        <v>3044</v>
      </c>
      <c r="C1174" s="5" t="s">
        <v>17</v>
      </c>
      <c r="D1174" s="5" t="s">
        <v>18</v>
      </c>
      <c r="E1174" s="5" t="s">
        <v>71</v>
      </c>
      <c r="F1174" s="9">
        <v>99</v>
      </c>
      <c r="G1174" s="9">
        <v>1107</v>
      </c>
      <c r="H1174" s="5" t="s">
        <v>20</v>
      </c>
      <c r="I1174" s="5" t="s">
        <v>3045</v>
      </c>
      <c r="J1174" s="12" t="str">
        <f>HYPERLINK("https://www.boe.es/gazeta/dias/1804/12/11/pdfs/GMD-1804-99.pdf#page=7","Abrir facsímil")</f>
        <v>Abrir facsímil</v>
      </c>
      <c r="K1174" s="15" t="s">
        <v>22</v>
      </c>
    </row>
    <row r="1175" spans="1:11" ht="42" customHeight="1">
      <c r="A1175" s="4" t="s">
        <v>3046</v>
      </c>
      <c r="B1175" s="5" t="s">
        <v>3047</v>
      </c>
      <c r="C1175" s="5" t="s">
        <v>262</v>
      </c>
      <c r="D1175" s="5" t="s">
        <v>263</v>
      </c>
      <c r="E1175" s="5" t="s">
        <v>398</v>
      </c>
      <c r="F1175" s="9">
        <v>22</v>
      </c>
      <c r="G1175" s="9">
        <v>250</v>
      </c>
      <c r="H1175" s="5" t="s">
        <v>20</v>
      </c>
      <c r="I1175" s="5" t="s">
        <v>3048</v>
      </c>
      <c r="J1175" s="12" t="str">
        <f>HYPERLINK("https://www.boe.es/gazeta/dias/1804/03/16/pdfs/GMD-C-1804-22.pdf#page=2","Abrir facsímil")</f>
        <v>Abrir facsímil</v>
      </c>
      <c r="K1175" s="15" t="s">
        <v>22</v>
      </c>
    </row>
    <row r="1176" spans="1:11" ht="42" customHeight="1">
      <c r="A1176" s="4" t="s">
        <v>3046</v>
      </c>
      <c r="B1176" s="5" t="s">
        <v>3047</v>
      </c>
      <c r="C1176" s="5" t="s">
        <v>198</v>
      </c>
      <c r="D1176" s="5" t="s">
        <v>66</v>
      </c>
      <c r="E1176" s="5" t="s">
        <v>666</v>
      </c>
      <c r="F1176" s="9">
        <v>57</v>
      </c>
      <c r="G1176" s="9">
        <v>636</v>
      </c>
      <c r="H1176" s="5" t="s">
        <v>20</v>
      </c>
      <c r="I1176" s="5" t="s">
        <v>3049</v>
      </c>
      <c r="J1176" s="12" t="str">
        <f>HYPERLINK("https://www.boe.es/gazeta/dias/1804/07/17/pdfs/GMD-C-1804-57.pdf#page=2","Abrir facsímil")</f>
        <v>Abrir facsímil</v>
      </c>
      <c r="K1176" s="15" t="s">
        <v>22</v>
      </c>
    </row>
    <row r="1177" spans="1:11" ht="42" customHeight="1">
      <c r="A1177" s="4" t="s">
        <v>3050</v>
      </c>
      <c r="B1177" s="5" t="s">
        <v>3051</v>
      </c>
      <c r="C1177" s="5" t="s">
        <v>65</v>
      </c>
      <c r="D1177" s="5" t="s">
        <v>66</v>
      </c>
      <c r="E1177" s="5" t="s">
        <v>484</v>
      </c>
      <c r="F1177" s="9">
        <v>53</v>
      </c>
      <c r="G1177" s="9">
        <v>593</v>
      </c>
      <c r="H1177" s="5" t="s">
        <v>20</v>
      </c>
      <c r="I1177" s="5" t="s">
        <v>3052</v>
      </c>
      <c r="J1177" s="12" t="str">
        <f>HYPERLINK("https://www.boe.es/gazeta/dias/1804/07/03/pdfs/GMD-1804-53.pdf#page=11","Abrir facsímil")</f>
        <v>Abrir facsímil</v>
      </c>
      <c r="K1177" s="15" t="s">
        <v>22</v>
      </c>
    </row>
    <row r="1178" spans="1:11" ht="42" customHeight="1">
      <c r="A1178" s="4" t="s">
        <v>3053</v>
      </c>
      <c r="B1178" s="5" t="s">
        <v>3054</v>
      </c>
      <c r="C1178" s="5" t="s">
        <v>27</v>
      </c>
      <c r="D1178" s="5" t="s">
        <v>28</v>
      </c>
      <c r="E1178" s="5" t="s">
        <v>178</v>
      </c>
      <c r="F1178" s="9">
        <v>20</v>
      </c>
      <c r="G1178" s="9">
        <v>220</v>
      </c>
      <c r="H1178" s="5" t="s">
        <v>20</v>
      </c>
      <c r="I1178" s="5" t="s">
        <v>3055</v>
      </c>
      <c r="J1178" s="12" t="str">
        <f>HYPERLINK("https://www.boe.es/gazeta/dias/1804/03/09/pdfs/GMD-1804-20.pdf#page=8","Abrir facsímil")</f>
        <v>Abrir facsímil</v>
      </c>
      <c r="K1178" s="15" t="s">
        <v>22</v>
      </c>
    </row>
    <row r="1179" spans="1:11" ht="42" customHeight="1">
      <c r="A1179" s="4" t="s">
        <v>3056</v>
      </c>
      <c r="B1179" s="5" t="s">
        <v>3057</v>
      </c>
      <c r="C1179" s="5" t="s">
        <v>27</v>
      </c>
      <c r="D1179" s="5" t="s">
        <v>28</v>
      </c>
      <c r="E1179" s="5" t="s">
        <v>453</v>
      </c>
      <c r="F1179" s="9">
        <v>33</v>
      </c>
      <c r="G1179" s="9">
        <v>367</v>
      </c>
      <c r="H1179" s="5" t="s">
        <v>20</v>
      </c>
      <c r="I1179" s="5" t="s">
        <v>3058</v>
      </c>
      <c r="J1179" s="12" t="str">
        <f>HYPERLINK("https://www.boe.es/gazeta/dias/1804/04/24/pdfs/GMD-1804-33.pdf#page=9","Abrir facsímil")</f>
        <v>Abrir facsímil</v>
      </c>
      <c r="K1179" s="15" t="s">
        <v>22</v>
      </c>
    </row>
    <row r="1180" spans="1:11" ht="42" customHeight="1">
      <c r="A1180" s="4" t="s">
        <v>3059</v>
      </c>
      <c r="B1180" s="5" t="s">
        <v>3060</v>
      </c>
      <c r="C1180" s="5" t="s">
        <v>17</v>
      </c>
      <c r="D1180" s="5" t="s">
        <v>18</v>
      </c>
      <c r="E1180" s="5" t="s">
        <v>272</v>
      </c>
      <c r="F1180" s="9">
        <v>30</v>
      </c>
      <c r="G1180" s="9">
        <v>330</v>
      </c>
      <c r="H1180" s="5" t="s">
        <v>20</v>
      </c>
      <c r="I1180" s="5" t="s">
        <v>3061</v>
      </c>
      <c r="J1180" s="12" t="str">
        <f>HYPERLINK("https://www.boe.es/gazeta/dias/1804/04/13/pdfs/GMD-1804-30.pdf#page=8","Abrir facsímil")</f>
        <v>Abrir facsímil</v>
      </c>
      <c r="K1180" s="15" t="s">
        <v>22</v>
      </c>
    </row>
    <row r="1181" spans="1:11" ht="42" customHeight="1">
      <c r="A1181" s="4" t="s">
        <v>3062</v>
      </c>
      <c r="B1181" s="5" t="s">
        <v>3063</v>
      </c>
      <c r="C1181" s="5" t="s">
        <v>17</v>
      </c>
      <c r="D1181" s="5" t="s">
        <v>18</v>
      </c>
      <c r="E1181" s="5" t="s">
        <v>547</v>
      </c>
      <c r="F1181" s="9">
        <v>68</v>
      </c>
      <c r="G1181" s="9">
        <v>763</v>
      </c>
      <c r="H1181" s="5" t="s">
        <v>20</v>
      </c>
      <c r="I1181" s="5" t="s">
        <v>3064</v>
      </c>
      <c r="J1181" s="12" t="str">
        <f>HYPERLINK("https://www.boe.es/gazeta/dias/1804/08/24/pdfs/GMD-1804-68.pdf#page=9","Abrir facsímil")</f>
        <v>Abrir facsímil</v>
      </c>
      <c r="K1181" s="15" t="s">
        <v>22</v>
      </c>
    </row>
    <row r="1182" spans="1:11" ht="42" customHeight="1">
      <c r="A1182" s="4" t="s">
        <v>3065</v>
      </c>
      <c r="B1182" s="5" t="s">
        <v>3066</v>
      </c>
      <c r="C1182" s="5" t="s">
        <v>27</v>
      </c>
      <c r="D1182" s="5" t="s">
        <v>28</v>
      </c>
      <c r="E1182" s="5" t="s">
        <v>245</v>
      </c>
      <c r="F1182" s="9">
        <v>6</v>
      </c>
      <c r="G1182" s="9">
        <v>58</v>
      </c>
      <c r="H1182" s="5" t="s">
        <v>20</v>
      </c>
      <c r="I1182" s="5" t="s">
        <v>3067</v>
      </c>
      <c r="J1182" s="12" t="str">
        <f>HYPERLINK("https://www.boe.es/gazeta/dias/1804/01/20/pdfs/GMD-1804-6.pdf#page=10","Abrir facsímil")</f>
        <v>Abrir facsímil</v>
      </c>
      <c r="K1182" s="15" t="s">
        <v>22</v>
      </c>
    </row>
    <row r="1183" spans="1:11" ht="42" customHeight="1">
      <c r="A1183" s="4" t="s">
        <v>3068</v>
      </c>
      <c r="B1183" s="5" t="s">
        <v>3069</v>
      </c>
      <c r="C1183" s="5" t="s">
        <v>262</v>
      </c>
      <c r="D1183" s="5" t="s">
        <v>263</v>
      </c>
      <c r="E1183" s="5" t="s">
        <v>398</v>
      </c>
      <c r="F1183" s="9">
        <v>22</v>
      </c>
      <c r="G1183" s="9">
        <v>250</v>
      </c>
      <c r="H1183" s="5" t="s">
        <v>20</v>
      </c>
      <c r="I1183" s="5" t="s">
        <v>3070</v>
      </c>
      <c r="J1183" s="12" t="str">
        <f>HYPERLINK("https://www.boe.es/gazeta/dias/1804/03/16/pdfs/GMD-C-1804-22.pdf#page=2","Abrir facsímil")</f>
        <v>Abrir facsímil</v>
      </c>
      <c r="K1183" s="15" t="s">
        <v>22</v>
      </c>
    </row>
    <row r="1184" spans="1:11" ht="42" customHeight="1">
      <c r="A1184" s="4" t="s">
        <v>3068</v>
      </c>
      <c r="B1184" s="5" t="s">
        <v>3069</v>
      </c>
      <c r="C1184" s="5" t="s">
        <v>262</v>
      </c>
      <c r="D1184" s="5" t="s">
        <v>263</v>
      </c>
      <c r="E1184" s="5" t="s">
        <v>666</v>
      </c>
      <c r="F1184" s="9">
        <v>57</v>
      </c>
      <c r="G1184" s="9">
        <v>636</v>
      </c>
      <c r="H1184" s="5" t="s">
        <v>20</v>
      </c>
      <c r="I1184" s="5" t="s">
        <v>3071</v>
      </c>
      <c r="J1184" s="12" t="str">
        <f>HYPERLINK("https://www.boe.es/gazeta/dias/1804/07/17/pdfs/GMD-C-1804-57.pdf#page=2","Abrir facsímil")</f>
        <v>Abrir facsímil</v>
      </c>
      <c r="K1184" s="15" t="s">
        <v>22</v>
      </c>
    </row>
    <row r="1185" spans="1:11" ht="42" customHeight="1">
      <c r="A1185" s="4" t="s">
        <v>3068</v>
      </c>
      <c r="B1185" s="5" t="s">
        <v>3069</v>
      </c>
      <c r="C1185" s="5" t="s">
        <v>17</v>
      </c>
      <c r="D1185" s="5" t="s">
        <v>18</v>
      </c>
      <c r="E1185" s="5" t="s">
        <v>155</v>
      </c>
      <c r="F1185" s="9">
        <v>92</v>
      </c>
      <c r="G1185" s="9">
        <v>1022</v>
      </c>
      <c r="H1185" s="5" t="s">
        <v>20</v>
      </c>
      <c r="I1185" s="5" t="s">
        <v>3072</v>
      </c>
      <c r="J1185" s="12" t="str">
        <f>HYPERLINK("https://www.boe.es/gazeta/dias/1804/11/16/pdfs/GMD-1804-92.pdf#page=10","Abrir facsímil")</f>
        <v>Abrir facsímil</v>
      </c>
      <c r="K1185" s="15" t="s">
        <v>22</v>
      </c>
    </row>
    <row r="1186" spans="1:11" ht="42" customHeight="1">
      <c r="A1186" s="4" t="s">
        <v>3073</v>
      </c>
      <c r="B1186" s="5" t="s">
        <v>3074</v>
      </c>
      <c r="C1186" s="5" t="s">
        <v>27</v>
      </c>
      <c r="D1186" s="5" t="s">
        <v>28</v>
      </c>
      <c r="E1186" s="5" t="s">
        <v>251</v>
      </c>
      <c r="F1186" s="9">
        <v>79</v>
      </c>
      <c r="G1186" s="9">
        <v>879</v>
      </c>
      <c r="H1186" s="5" t="s">
        <v>20</v>
      </c>
      <c r="I1186" s="5" t="s">
        <v>3075</v>
      </c>
      <c r="J1186" s="12" t="str">
        <f>HYPERLINK("https://www.boe.es/gazeta/dias/1804/10/02/pdfs/GMD-1804-79.pdf#page=9","Abrir facsímil")</f>
        <v>Abrir facsímil</v>
      </c>
      <c r="K1186" s="15" t="s">
        <v>22</v>
      </c>
    </row>
    <row r="1187" spans="1:11" ht="42" customHeight="1">
      <c r="A1187" s="4" t="s">
        <v>3076</v>
      </c>
      <c r="B1187" s="5" t="s">
        <v>3077</v>
      </c>
      <c r="C1187" s="5" t="s">
        <v>27</v>
      </c>
      <c r="D1187" s="5" t="s">
        <v>28</v>
      </c>
      <c r="E1187" s="5" t="s">
        <v>54</v>
      </c>
      <c r="F1187" s="9">
        <v>63</v>
      </c>
      <c r="G1187" s="9">
        <v>700</v>
      </c>
      <c r="H1187" s="5" t="s">
        <v>20</v>
      </c>
      <c r="I1187" s="5" t="s">
        <v>3078</v>
      </c>
      <c r="J1187" s="12" t="str">
        <f>HYPERLINK("https://www.boe.es/gazeta/dias/1804/08/07/pdfs/GMD-1804-63.pdf#page=10","Abrir facsímil")</f>
        <v>Abrir facsímil</v>
      </c>
      <c r="K1187" s="15" t="s">
        <v>22</v>
      </c>
    </row>
    <row r="1188" spans="1:11" ht="42" customHeight="1">
      <c r="A1188" s="4" t="s">
        <v>3079</v>
      </c>
      <c r="B1188" s="5" t="s">
        <v>3080</v>
      </c>
      <c r="C1188" s="5" t="s">
        <v>85</v>
      </c>
      <c r="D1188" s="5" t="s">
        <v>86</v>
      </c>
      <c r="E1188" s="5" t="s">
        <v>709</v>
      </c>
      <c r="F1188" s="9">
        <v>82</v>
      </c>
      <c r="G1188" s="9">
        <v>908</v>
      </c>
      <c r="H1188" s="5" t="s">
        <v>20</v>
      </c>
      <c r="I1188" s="5" t="s">
        <v>3081</v>
      </c>
      <c r="J1188" s="12" t="str">
        <f>HYPERLINK("https://www.boe.es/gazeta/dias/1804/10/12/pdfs/GMD-1804-82.pdf#page=10","Abrir facsímil")</f>
        <v>Abrir facsímil</v>
      </c>
      <c r="K1188" s="15" t="s">
        <v>22</v>
      </c>
    </row>
    <row r="1189" spans="1:11" ht="42" customHeight="1">
      <c r="A1189" s="4" t="s">
        <v>3082</v>
      </c>
      <c r="B1189" s="5" t="s">
        <v>3083</v>
      </c>
      <c r="C1189" s="5" t="s">
        <v>17</v>
      </c>
      <c r="D1189" s="5" t="s">
        <v>18</v>
      </c>
      <c r="E1189" s="5" t="s">
        <v>71</v>
      </c>
      <c r="F1189" s="9">
        <v>99</v>
      </c>
      <c r="G1189" s="9">
        <v>1107</v>
      </c>
      <c r="H1189" s="5" t="s">
        <v>20</v>
      </c>
      <c r="I1189" s="5" t="s">
        <v>3084</v>
      </c>
      <c r="J1189" s="12" t="str">
        <f>HYPERLINK("https://www.boe.es/gazeta/dias/1804/12/11/pdfs/GMD-1804-99.pdf#page=7","Abrir facsímil")</f>
        <v>Abrir facsímil</v>
      </c>
      <c r="K1189" s="15" t="s">
        <v>22</v>
      </c>
    </row>
    <row r="1190" spans="1:11" ht="42" customHeight="1">
      <c r="A1190" s="4" t="s">
        <v>3085</v>
      </c>
      <c r="B1190" s="5" t="s">
        <v>3086</v>
      </c>
      <c r="C1190" s="5" t="s">
        <v>17</v>
      </c>
      <c r="D1190" s="5" t="s">
        <v>18</v>
      </c>
      <c r="E1190" s="5" t="s">
        <v>151</v>
      </c>
      <c r="F1190" s="9">
        <v>13</v>
      </c>
      <c r="G1190" s="9">
        <v>143</v>
      </c>
      <c r="H1190" s="5" t="s">
        <v>20</v>
      </c>
      <c r="I1190" s="5" t="s">
        <v>3087</v>
      </c>
      <c r="J1190" s="12" t="str">
        <f>HYPERLINK("https://www.boe.es/gazeta/dias/1804/02/14/pdfs/GMD-1804-13.pdf#page=7","Abrir facsímil")</f>
        <v>Abrir facsímil</v>
      </c>
      <c r="K1190" s="15" t="s">
        <v>22</v>
      </c>
    </row>
    <row r="1191" spans="1:11" ht="42" customHeight="1">
      <c r="A1191" s="4" t="s">
        <v>3088</v>
      </c>
      <c r="B1191" s="5" t="s">
        <v>3089</v>
      </c>
      <c r="C1191" s="5" t="s">
        <v>65</v>
      </c>
      <c r="D1191" s="5" t="s">
        <v>66</v>
      </c>
      <c r="E1191" s="5" t="s">
        <v>453</v>
      </c>
      <c r="F1191" s="9">
        <v>33</v>
      </c>
      <c r="G1191" s="9">
        <v>366</v>
      </c>
      <c r="H1191" s="5" t="s">
        <v>20</v>
      </c>
      <c r="I1191" s="5" t="s">
        <v>3090</v>
      </c>
      <c r="J1191" s="12" t="str">
        <f>HYPERLINK("https://www.boe.es/gazeta/dias/1804/04/24/pdfs/GMD-1804-33.pdf#page=8","Abrir facsímil")</f>
        <v>Abrir facsímil</v>
      </c>
      <c r="K1191" s="15" t="s">
        <v>22</v>
      </c>
    </row>
    <row r="1192" spans="1:11" ht="42" customHeight="1">
      <c r="A1192" s="4" t="s">
        <v>3091</v>
      </c>
      <c r="B1192" s="5" t="s">
        <v>3092</v>
      </c>
      <c r="C1192" s="5" t="s">
        <v>27</v>
      </c>
      <c r="D1192" s="5" t="s">
        <v>28</v>
      </c>
      <c r="E1192" s="5" t="s">
        <v>136</v>
      </c>
      <c r="F1192" s="9">
        <v>23</v>
      </c>
      <c r="G1192" s="9">
        <v>264</v>
      </c>
      <c r="H1192" s="5" t="s">
        <v>20</v>
      </c>
      <c r="I1192" s="5" t="s">
        <v>3093</v>
      </c>
      <c r="J1192" s="12" t="str">
        <f>HYPERLINK("https://www.boe.es/gazeta/dias/1804/03/20/pdfs/GMD-1804-23.pdf#page=10","Abrir facsímil")</f>
        <v>Abrir facsímil</v>
      </c>
      <c r="K1192" s="15" t="s">
        <v>22</v>
      </c>
    </row>
    <row r="1193" spans="1:11" ht="42" customHeight="1">
      <c r="A1193" s="4" t="s">
        <v>3094</v>
      </c>
      <c r="B1193" s="5" t="s">
        <v>3095</v>
      </c>
      <c r="C1193" s="5" t="s">
        <v>65</v>
      </c>
      <c r="D1193" s="5" t="s">
        <v>66</v>
      </c>
      <c r="E1193" s="5" t="s">
        <v>147</v>
      </c>
      <c r="F1193" s="9">
        <v>77</v>
      </c>
      <c r="G1193" s="9">
        <v>860</v>
      </c>
      <c r="H1193" s="5" t="s">
        <v>20</v>
      </c>
      <c r="I1193" s="5" t="s">
        <v>3096</v>
      </c>
      <c r="J1193" s="12" t="str">
        <f>HYPERLINK("https://www.boe.es/gazeta/dias/1804/09/25/pdfs/GMD-1804-77.pdf#page=10","Abrir facsímil")</f>
        <v>Abrir facsímil</v>
      </c>
      <c r="K1193" s="15" t="s">
        <v>22</v>
      </c>
    </row>
    <row r="1194" spans="1:11" ht="42" customHeight="1">
      <c r="A1194" s="4" t="s">
        <v>3097</v>
      </c>
      <c r="B1194" s="5" t="s">
        <v>3098</v>
      </c>
      <c r="C1194" s="5" t="s">
        <v>17</v>
      </c>
      <c r="D1194" s="5" t="s">
        <v>18</v>
      </c>
      <c r="E1194" s="5" t="s">
        <v>1337</v>
      </c>
      <c r="F1194" s="9">
        <v>7</v>
      </c>
      <c r="G1194" s="9">
        <v>72</v>
      </c>
      <c r="H1194" s="5" t="s">
        <v>20</v>
      </c>
      <c r="I1194" s="5" t="s">
        <v>3099</v>
      </c>
      <c r="J1194" s="12" t="str">
        <f>HYPERLINK("https://www.boe.es/gazeta/dias/1804/01/24/pdfs/GMD-1804-7.pdf#page=12","Abrir facsímil")</f>
        <v>Abrir facsímil</v>
      </c>
      <c r="K1194" s="15" t="s">
        <v>22</v>
      </c>
    </row>
    <row r="1195" spans="1:11" ht="42" customHeight="1">
      <c r="A1195" s="4" t="s">
        <v>3097</v>
      </c>
      <c r="B1195" s="5" t="s">
        <v>3098</v>
      </c>
      <c r="C1195" s="5" t="s">
        <v>17</v>
      </c>
      <c r="D1195" s="5" t="s">
        <v>18</v>
      </c>
      <c r="E1195" s="5" t="s">
        <v>81</v>
      </c>
      <c r="F1195" s="9">
        <v>98</v>
      </c>
      <c r="G1195" s="9">
        <v>1091</v>
      </c>
      <c r="H1195" s="5" t="s">
        <v>20</v>
      </c>
      <c r="I1195" s="5" t="s">
        <v>3100</v>
      </c>
      <c r="J1195" s="12" t="str">
        <f>HYPERLINK("https://www.boe.es/gazeta/dias/1804/12/07/pdfs/GMD-1804-98.pdf#page=7","Abrir facsímil")</f>
        <v>Abrir facsímil</v>
      </c>
      <c r="K1195" s="15" t="s">
        <v>22</v>
      </c>
    </row>
    <row r="1196" spans="1:11" ht="42" customHeight="1">
      <c r="A1196" s="4" t="s">
        <v>3097</v>
      </c>
      <c r="B1196" s="5" t="s">
        <v>3098</v>
      </c>
      <c r="C1196" s="5" t="s">
        <v>17</v>
      </c>
      <c r="D1196" s="5" t="s">
        <v>18</v>
      </c>
      <c r="E1196" s="5" t="s">
        <v>191</v>
      </c>
      <c r="F1196" s="9">
        <v>101</v>
      </c>
      <c r="G1196" s="9">
        <v>1130</v>
      </c>
      <c r="H1196" s="5" t="s">
        <v>20</v>
      </c>
      <c r="I1196" s="5" t="s">
        <v>3101</v>
      </c>
      <c r="J1196" s="12" t="str">
        <f>HYPERLINK("https://www.boe.es/gazeta/dias/1804/12/18/pdfs/GMD-1804-101.pdf#page=10","Abrir facsímil")</f>
        <v>Abrir facsímil</v>
      </c>
      <c r="K1196" s="15" t="s">
        <v>22</v>
      </c>
    </row>
    <row r="1197" spans="1:11" ht="42" customHeight="1">
      <c r="A1197" s="4" t="s">
        <v>3102</v>
      </c>
      <c r="B1197" s="5" t="s">
        <v>3103</v>
      </c>
      <c r="C1197" s="5" t="s">
        <v>27</v>
      </c>
      <c r="D1197" s="5" t="s">
        <v>28</v>
      </c>
      <c r="E1197" s="5" t="s">
        <v>67</v>
      </c>
      <c r="F1197" s="9">
        <v>59</v>
      </c>
      <c r="G1197" s="9">
        <v>652</v>
      </c>
      <c r="H1197" s="5" t="s">
        <v>20</v>
      </c>
      <c r="I1197" s="5" t="s">
        <v>3104</v>
      </c>
      <c r="J1197" s="12" t="str">
        <f>HYPERLINK("https://www.boe.es/gazeta/dias/1804/07/24/pdfs/GMD-1804-59.pdf#page=6","Abrir facsímil")</f>
        <v>Abrir facsímil</v>
      </c>
      <c r="K1197" s="15" t="s">
        <v>22</v>
      </c>
    </row>
    <row r="1198" spans="1:11" ht="42" customHeight="1">
      <c r="A1198" s="4" t="s">
        <v>3105</v>
      </c>
      <c r="B1198" s="5" t="s">
        <v>3106</v>
      </c>
      <c r="C1198" s="5" t="s">
        <v>27</v>
      </c>
      <c r="D1198" s="5" t="s">
        <v>28</v>
      </c>
      <c r="E1198" s="5" t="s">
        <v>91</v>
      </c>
      <c r="F1198" s="9">
        <v>72</v>
      </c>
      <c r="G1198" s="9">
        <v>806</v>
      </c>
      <c r="H1198" s="5" t="s">
        <v>20</v>
      </c>
      <c r="I1198" s="5" t="s">
        <v>3107</v>
      </c>
      <c r="J1198" s="12" t="str">
        <f>HYPERLINK("https://www.boe.es/gazeta/dias/1804/09/07/pdfs/GMD-1804-72.pdf#page=8","Abrir facsímil")</f>
        <v>Abrir facsímil</v>
      </c>
      <c r="K1198" s="15" t="s">
        <v>22</v>
      </c>
    </row>
    <row r="1199" spans="1:11" ht="42" customHeight="1">
      <c r="A1199" s="4" t="s">
        <v>3108</v>
      </c>
      <c r="B1199" s="5" t="s">
        <v>3109</v>
      </c>
      <c r="C1199" s="5" t="s">
        <v>27</v>
      </c>
      <c r="D1199" s="5" t="s">
        <v>28</v>
      </c>
      <c r="E1199" s="5" t="s">
        <v>709</v>
      </c>
      <c r="F1199" s="9">
        <v>82</v>
      </c>
      <c r="G1199" s="9">
        <v>906</v>
      </c>
      <c r="H1199" s="5" t="s">
        <v>20</v>
      </c>
      <c r="I1199" s="5" t="s">
        <v>3110</v>
      </c>
      <c r="J1199" s="12" t="str">
        <f>HYPERLINK("https://www.boe.es/gazeta/dias/1804/10/12/pdfs/GMD-1804-82.pdf#page=8","Abrir facsímil")</f>
        <v>Abrir facsímil</v>
      </c>
      <c r="K1199" s="15" t="s">
        <v>22</v>
      </c>
    </row>
    <row r="1200" spans="1:11" ht="42" customHeight="1">
      <c r="A1200" s="4" t="s">
        <v>3108</v>
      </c>
      <c r="B1200" s="5" t="s">
        <v>3109</v>
      </c>
      <c r="C1200" s="5" t="s">
        <v>65</v>
      </c>
      <c r="D1200" s="5" t="s">
        <v>66</v>
      </c>
      <c r="E1200" s="5" t="s">
        <v>339</v>
      </c>
      <c r="F1200" s="9">
        <v>94</v>
      </c>
      <c r="G1200" s="9">
        <v>1038</v>
      </c>
      <c r="H1200" s="5" t="s">
        <v>20</v>
      </c>
      <c r="I1200" s="5" t="s">
        <v>3111</v>
      </c>
      <c r="J1200" s="12" t="str">
        <f>HYPERLINK("https://www.boe.es/gazeta/dias/1804/11/23/pdfs/GMD-1804-94.pdf#page=6","Abrir facsímil")</f>
        <v>Abrir facsímil</v>
      </c>
      <c r="K1200" s="15" t="s">
        <v>22</v>
      </c>
    </row>
    <row r="1201" spans="1:11" ht="42" customHeight="1">
      <c r="A1201" s="4" t="s">
        <v>3112</v>
      </c>
      <c r="B1201" s="5" t="s">
        <v>3113</v>
      </c>
      <c r="C1201" s="5" t="s">
        <v>57</v>
      </c>
      <c r="D1201" s="5" t="s">
        <v>58</v>
      </c>
      <c r="E1201" s="5" t="s">
        <v>1449</v>
      </c>
      <c r="F1201" s="9">
        <v>8</v>
      </c>
      <c r="G1201" s="9">
        <v>84</v>
      </c>
      <c r="H1201" s="5" t="s">
        <v>20</v>
      </c>
      <c r="I1201" s="5" t="s">
        <v>3114</v>
      </c>
      <c r="J1201" s="12" t="str">
        <f>HYPERLINK("https://www.boe.es/gazeta/dias/1804/01/27/pdfs/GMD-1804-8.pdf#page=8","Abrir facsímil")</f>
        <v>Abrir facsímil</v>
      </c>
      <c r="K1201" s="15" t="s">
        <v>22</v>
      </c>
    </row>
    <row r="1202" spans="1:11" ht="42" customHeight="1">
      <c r="A1202" s="4" t="s">
        <v>3115</v>
      </c>
      <c r="B1202" s="5" t="s">
        <v>3116</v>
      </c>
      <c r="C1202" s="5" t="s">
        <v>17</v>
      </c>
      <c r="D1202" s="5" t="s">
        <v>18</v>
      </c>
      <c r="E1202" s="5" t="s">
        <v>71</v>
      </c>
      <c r="F1202" s="9">
        <v>99</v>
      </c>
      <c r="G1202" s="9">
        <v>1107</v>
      </c>
      <c r="H1202" s="5" t="s">
        <v>20</v>
      </c>
      <c r="I1202" s="5" t="s">
        <v>3117</v>
      </c>
      <c r="J1202" s="12" t="str">
        <f>HYPERLINK("https://www.boe.es/gazeta/dias/1804/12/11/pdfs/GMD-1804-99.pdf#page=7","Abrir facsímil")</f>
        <v>Abrir facsímil</v>
      </c>
      <c r="K1202" s="15" t="s">
        <v>22</v>
      </c>
    </row>
    <row r="1203" spans="1:11" ht="42" customHeight="1">
      <c r="A1203" s="4" t="s">
        <v>3118</v>
      </c>
      <c r="B1203" s="5" t="s">
        <v>3119</v>
      </c>
      <c r="C1203" s="5" t="s">
        <v>17</v>
      </c>
      <c r="D1203" s="5" t="s">
        <v>18</v>
      </c>
      <c r="E1203" s="5" t="s">
        <v>71</v>
      </c>
      <c r="F1203" s="9">
        <v>99</v>
      </c>
      <c r="G1203" s="9">
        <v>1106</v>
      </c>
      <c r="H1203" s="5" t="s">
        <v>20</v>
      </c>
      <c r="I1203" s="5" t="s">
        <v>3120</v>
      </c>
      <c r="J1203" s="12" t="str">
        <f>HYPERLINK("https://www.boe.es/gazeta/dias/1804/12/11/pdfs/GMD-1804-99.pdf#page=6","Abrir facsímil")</f>
        <v>Abrir facsímil</v>
      </c>
      <c r="K1203" s="15" t="s">
        <v>22</v>
      </c>
    </row>
    <row r="1204" spans="1:11" ht="42" customHeight="1">
      <c r="A1204" s="4" t="s">
        <v>3121</v>
      </c>
      <c r="B1204" s="5" t="s">
        <v>3122</v>
      </c>
      <c r="C1204" s="5" t="s">
        <v>27</v>
      </c>
      <c r="D1204" s="5" t="s">
        <v>28</v>
      </c>
      <c r="E1204" s="5" t="s">
        <v>61</v>
      </c>
      <c r="F1204" s="9">
        <v>61</v>
      </c>
      <c r="G1204" s="9">
        <v>677</v>
      </c>
      <c r="H1204" s="5" t="s">
        <v>20</v>
      </c>
      <c r="I1204" s="5" t="s">
        <v>3123</v>
      </c>
      <c r="J1204" s="12" t="str">
        <f>HYPERLINK("https://www.boe.es/gazeta/dias/1804/07/31/pdfs/GMD-1804-61.pdf#page=7","Abrir facsímil")</f>
        <v>Abrir facsímil</v>
      </c>
      <c r="K1204" s="15" t="s">
        <v>22</v>
      </c>
    </row>
    <row r="1205" spans="1:11" ht="42" customHeight="1">
      <c r="A1205" s="4" t="s">
        <v>3124</v>
      </c>
      <c r="B1205" s="5" t="s">
        <v>3125</v>
      </c>
      <c r="C1205" s="5" t="s">
        <v>27</v>
      </c>
      <c r="D1205" s="5" t="s">
        <v>28</v>
      </c>
      <c r="E1205" s="5" t="s">
        <v>91</v>
      </c>
      <c r="F1205" s="9">
        <v>72</v>
      </c>
      <c r="G1205" s="9">
        <v>806</v>
      </c>
      <c r="H1205" s="5" t="s">
        <v>20</v>
      </c>
      <c r="I1205" s="5" t="s">
        <v>3126</v>
      </c>
      <c r="J1205" s="12" t="str">
        <f>HYPERLINK("https://www.boe.es/gazeta/dias/1804/09/07/pdfs/GMD-1804-72.pdf#page=8","Abrir facsímil")</f>
        <v>Abrir facsímil</v>
      </c>
      <c r="K1205" s="15" t="s">
        <v>22</v>
      </c>
    </row>
    <row r="1206" spans="1:11" ht="42" customHeight="1">
      <c r="A1206" s="4" t="s">
        <v>3127</v>
      </c>
      <c r="B1206" s="5" t="s">
        <v>3128</v>
      </c>
      <c r="C1206" s="5" t="s">
        <v>27</v>
      </c>
      <c r="D1206" s="5" t="s">
        <v>28</v>
      </c>
      <c r="E1206" s="5" t="s">
        <v>208</v>
      </c>
      <c r="F1206" s="9">
        <v>97</v>
      </c>
      <c r="G1206" s="9">
        <v>1082</v>
      </c>
      <c r="H1206" s="5" t="s">
        <v>20</v>
      </c>
      <c r="I1206" s="5" t="s">
        <v>3129</v>
      </c>
      <c r="J1206" s="12" t="str">
        <f>HYPERLINK("https://www.boe.es/gazeta/dias/1804/12/04/pdfs/GMD-1804-97.pdf#page=10","Abrir facsímil")</f>
        <v>Abrir facsímil</v>
      </c>
      <c r="K1206" s="15" t="s">
        <v>22</v>
      </c>
    </row>
    <row r="1207" spans="1:11" ht="42" customHeight="1">
      <c r="A1207" s="4" t="s">
        <v>3130</v>
      </c>
      <c r="B1207" s="5" t="s">
        <v>3131</v>
      </c>
      <c r="C1207" s="5" t="s">
        <v>17</v>
      </c>
      <c r="D1207" s="5" t="s">
        <v>18</v>
      </c>
      <c r="E1207" s="5" t="s">
        <v>140</v>
      </c>
      <c r="F1207" s="9">
        <v>39</v>
      </c>
      <c r="G1207" s="9">
        <v>437</v>
      </c>
      <c r="H1207" s="5" t="s">
        <v>20</v>
      </c>
      <c r="I1207" s="5" t="s">
        <v>3132</v>
      </c>
      <c r="J1207" s="12" t="str">
        <f>HYPERLINK("https://www.boe.es/gazeta/dias/1804/05/15/pdfs/GMD-1804-39.pdf#page=11","Abrir facsímil")</f>
        <v>Abrir facsímil</v>
      </c>
      <c r="K1207" s="15" t="s">
        <v>22</v>
      </c>
    </row>
    <row r="1208" spans="1:11" ht="42" customHeight="1">
      <c r="A1208" s="4" t="s">
        <v>3133</v>
      </c>
      <c r="B1208" s="5" t="s">
        <v>3134</v>
      </c>
      <c r="C1208" s="5" t="s">
        <v>65</v>
      </c>
      <c r="D1208" s="5" t="s">
        <v>66</v>
      </c>
      <c r="E1208" s="5" t="s">
        <v>258</v>
      </c>
      <c r="F1208" s="9">
        <v>14</v>
      </c>
      <c r="G1208" s="9">
        <v>154</v>
      </c>
      <c r="H1208" s="5" t="s">
        <v>20</v>
      </c>
      <c r="I1208" s="5" t="s">
        <v>3135</v>
      </c>
      <c r="J1208" s="12" t="str">
        <f>HYPERLINK("https://www.boe.es/gazeta/dias/1804/02/17/pdfs/GMD-1804-14.pdf#page=10","Abrir facsímil")</f>
        <v>Abrir facsímil</v>
      </c>
      <c r="K1208" s="15" t="s">
        <v>22</v>
      </c>
    </row>
    <row r="1209" spans="1:11" ht="42" customHeight="1">
      <c r="A1209" s="4" t="s">
        <v>3136</v>
      </c>
      <c r="B1209" s="5" t="s">
        <v>3137</v>
      </c>
      <c r="C1209" s="5" t="s">
        <v>27</v>
      </c>
      <c r="D1209" s="5" t="s">
        <v>28</v>
      </c>
      <c r="E1209" s="5" t="s">
        <v>678</v>
      </c>
      <c r="F1209" s="9">
        <v>104</v>
      </c>
      <c r="G1209" s="9">
        <v>1162</v>
      </c>
      <c r="H1209" s="5" t="s">
        <v>20</v>
      </c>
      <c r="I1209" s="5" t="s">
        <v>3138</v>
      </c>
      <c r="J1209" s="12" t="str">
        <f>HYPERLINK("https://www.boe.es/gazeta/dias/1804/12/28/pdfs/GMD-1804-104.pdf#page=10","Abrir facsímil")</f>
        <v>Abrir facsímil</v>
      </c>
      <c r="K1209" s="15" t="s">
        <v>22</v>
      </c>
    </row>
    <row r="1210" spans="1:11" ht="42" customHeight="1">
      <c r="A1210" s="4" t="s">
        <v>3139</v>
      </c>
      <c r="B1210" s="5" t="s">
        <v>3140</v>
      </c>
      <c r="C1210" s="5" t="s">
        <v>85</v>
      </c>
      <c r="D1210" s="5" t="s">
        <v>86</v>
      </c>
      <c r="E1210" s="5" t="s">
        <v>709</v>
      </c>
      <c r="F1210" s="9">
        <v>82</v>
      </c>
      <c r="G1210" s="9">
        <v>908</v>
      </c>
      <c r="H1210" s="5" t="s">
        <v>20</v>
      </c>
      <c r="I1210" s="5" t="s">
        <v>3141</v>
      </c>
      <c r="J1210" s="12" t="str">
        <f>HYPERLINK("https://www.boe.es/gazeta/dias/1804/10/12/pdfs/GMD-1804-82.pdf#page=10","Abrir facsímil")</f>
        <v>Abrir facsímil</v>
      </c>
      <c r="K1210" s="15" t="s">
        <v>22</v>
      </c>
    </row>
    <row r="1211" spans="1:11" ht="42" customHeight="1">
      <c r="A1211" s="4" t="s">
        <v>3142</v>
      </c>
      <c r="B1211" s="5" t="s">
        <v>3143</v>
      </c>
      <c r="C1211" s="5" t="s">
        <v>65</v>
      </c>
      <c r="D1211" s="5" t="s">
        <v>66</v>
      </c>
      <c r="E1211" s="5" t="s">
        <v>109</v>
      </c>
      <c r="F1211" s="9">
        <v>35</v>
      </c>
      <c r="G1211" s="9">
        <v>387</v>
      </c>
      <c r="H1211" s="5" t="s">
        <v>20</v>
      </c>
      <c r="I1211" s="5" t="s">
        <v>3144</v>
      </c>
      <c r="J1211" s="12" t="str">
        <f>HYPERLINK("https://www.boe.es/gazeta/dias/1804/05/01/pdfs/GMD-1804-35.pdf#page=9","Abrir facsímil")</f>
        <v>Abrir facsímil</v>
      </c>
      <c r="K1211" s="15" t="s">
        <v>22</v>
      </c>
    </row>
    <row r="1212" spans="1:11" ht="42" customHeight="1">
      <c r="A1212" s="4" t="s">
        <v>3142</v>
      </c>
      <c r="B1212" s="5" t="s">
        <v>3143</v>
      </c>
      <c r="C1212" s="5" t="s">
        <v>27</v>
      </c>
      <c r="D1212" s="5" t="s">
        <v>28</v>
      </c>
      <c r="E1212" s="5" t="s">
        <v>466</v>
      </c>
      <c r="F1212" s="9">
        <v>76</v>
      </c>
      <c r="G1212" s="9">
        <v>847</v>
      </c>
      <c r="H1212" s="5" t="s">
        <v>20</v>
      </c>
      <c r="I1212" s="5" t="s">
        <v>3145</v>
      </c>
      <c r="J1212" s="12" t="str">
        <f>HYPERLINK("https://www.boe.es/gazeta/dias/1804/09/21/pdfs/GMD-1804-76.pdf#page=5","Abrir facsímil")</f>
        <v>Abrir facsímil</v>
      </c>
      <c r="K1212" s="15" t="s">
        <v>22</v>
      </c>
    </row>
    <row r="1213" spans="1:11" ht="42" customHeight="1">
      <c r="A1213" s="4" t="s">
        <v>3146</v>
      </c>
      <c r="B1213" s="5" t="s">
        <v>3147</v>
      </c>
      <c r="C1213" s="5" t="s">
        <v>27</v>
      </c>
      <c r="D1213" s="5" t="s">
        <v>28</v>
      </c>
      <c r="E1213" s="5" t="s">
        <v>623</v>
      </c>
      <c r="F1213" s="9">
        <v>51</v>
      </c>
      <c r="G1213" s="9">
        <v>561</v>
      </c>
      <c r="H1213" s="5" t="s">
        <v>20</v>
      </c>
      <c r="I1213" s="5" t="s">
        <v>3148</v>
      </c>
      <c r="J1213" s="12" t="str">
        <f>HYPERLINK("https://www.boe.es/gazeta/dias/1804/06/26/pdfs/GMD-1804-51.pdf#page=7","Abrir facsímil")</f>
        <v>Abrir facsímil</v>
      </c>
      <c r="K1213" s="15" t="s">
        <v>22</v>
      </c>
    </row>
    <row r="1214" spans="1:11" ht="42" customHeight="1">
      <c r="A1214" s="4" t="s">
        <v>3149</v>
      </c>
      <c r="B1214" s="5" t="s">
        <v>3150</v>
      </c>
      <c r="C1214" s="5" t="s">
        <v>27</v>
      </c>
      <c r="D1214" s="5" t="s">
        <v>28</v>
      </c>
      <c r="E1214" s="5" t="s">
        <v>67</v>
      </c>
      <c r="F1214" s="9">
        <v>59</v>
      </c>
      <c r="G1214" s="9">
        <v>652</v>
      </c>
      <c r="H1214" s="5" t="s">
        <v>20</v>
      </c>
      <c r="I1214" s="5" t="s">
        <v>3151</v>
      </c>
      <c r="J1214" s="12" t="str">
        <f>HYPERLINK("https://www.boe.es/gazeta/dias/1804/07/24/pdfs/GMD-1804-59.pdf#page=6","Abrir facsímil")</f>
        <v>Abrir facsímil</v>
      </c>
      <c r="K1214" s="15" t="s">
        <v>22</v>
      </c>
    </row>
    <row r="1215" spans="1:11" ht="42" customHeight="1">
      <c r="A1215" s="4" t="s">
        <v>3152</v>
      </c>
      <c r="B1215" s="5" t="s">
        <v>3153</v>
      </c>
      <c r="C1215" s="5" t="s">
        <v>27</v>
      </c>
      <c r="D1215" s="5" t="s">
        <v>28</v>
      </c>
      <c r="E1215" s="5" t="s">
        <v>264</v>
      </c>
      <c r="F1215" s="9">
        <v>49</v>
      </c>
      <c r="G1215" s="9">
        <v>544</v>
      </c>
      <c r="H1215" s="5" t="s">
        <v>20</v>
      </c>
      <c r="I1215" s="5" t="s">
        <v>3154</v>
      </c>
      <c r="J1215" s="12" t="str">
        <f>HYPERLINK("https://www.boe.es/gazeta/dias/1804/06/19/pdfs/GMD-1804-49.pdf#page=6","Abrir facsímil")</f>
        <v>Abrir facsímil</v>
      </c>
      <c r="K1215" s="15" t="s">
        <v>22</v>
      </c>
    </row>
    <row r="1216" spans="1:11" ht="42" customHeight="1">
      <c r="A1216" s="4" t="s">
        <v>3155</v>
      </c>
      <c r="B1216" s="5" t="s">
        <v>3156</v>
      </c>
      <c r="C1216" s="5" t="s">
        <v>85</v>
      </c>
      <c r="D1216" s="5" t="s">
        <v>86</v>
      </c>
      <c r="E1216" s="5" t="s">
        <v>97</v>
      </c>
      <c r="F1216" s="9">
        <v>50</v>
      </c>
      <c r="G1216" s="9">
        <v>554</v>
      </c>
      <c r="H1216" s="5" t="s">
        <v>20</v>
      </c>
      <c r="I1216" s="5" t="s">
        <v>3157</v>
      </c>
      <c r="J1216" s="12" t="str">
        <f>HYPERLINK("https://www.boe.es/gazeta/dias/1804/06/22/pdfs/GMD-1804-50.pdf#page=8","Abrir facsímil")</f>
        <v>Abrir facsímil</v>
      </c>
      <c r="K1216" s="15" t="s">
        <v>22</v>
      </c>
    </row>
    <row r="1217" spans="1:11" ht="42" customHeight="1">
      <c r="A1217" s="4" t="s">
        <v>3158</v>
      </c>
      <c r="B1217" s="5" t="s">
        <v>3159</v>
      </c>
      <c r="C1217" s="5" t="s">
        <v>27</v>
      </c>
      <c r="D1217" s="5" t="s">
        <v>28</v>
      </c>
      <c r="E1217" s="5" t="s">
        <v>97</v>
      </c>
      <c r="F1217" s="9">
        <v>50</v>
      </c>
      <c r="G1217" s="9">
        <v>553</v>
      </c>
      <c r="H1217" s="5" t="s">
        <v>20</v>
      </c>
      <c r="I1217" s="5" t="s">
        <v>3160</v>
      </c>
      <c r="J1217" s="12" t="str">
        <f>HYPERLINK("https://www.boe.es/gazeta/dias/1804/06/22/pdfs/GMD-1804-50.pdf#page=7","Abrir facsímil")</f>
        <v>Abrir facsímil</v>
      </c>
      <c r="K1217" s="15" t="s">
        <v>22</v>
      </c>
    </row>
    <row r="1218" spans="1:11" ht="42" customHeight="1">
      <c r="A1218" s="4" t="s">
        <v>3161</v>
      </c>
      <c r="B1218" s="5" t="s">
        <v>3162</v>
      </c>
      <c r="C1218" s="5" t="s">
        <v>262</v>
      </c>
      <c r="D1218" s="5" t="s">
        <v>263</v>
      </c>
      <c r="E1218" s="5" t="s">
        <v>666</v>
      </c>
      <c r="F1218" s="9">
        <v>57</v>
      </c>
      <c r="G1218" s="9">
        <v>636</v>
      </c>
      <c r="H1218" s="5" t="s">
        <v>20</v>
      </c>
      <c r="I1218" s="5" t="s">
        <v>3163</v>
      </c>
      <c r="J1218" s="12" t="str">
        <f>HYPERLINK("https://www.boe.es/gazeta/dias/1804/07/17/pdfs/GMD-C-1804-57.pdf#page=2","Abrir facsímil")</f>
        <v>Abrir facsímil</v>
      </c>
      <c r="K1218" s="15" t="s">
        <v>22</v>
      </c>
    </row>
    <row r="1219" spans="1:11" ht="42" customHeight="1">
      <c r="A1219" s="4" t="s">
        <v>3164</v>
      </c>
      <c r="B1219" s="5" t="s">
        <v>3165</v>
      </c>
      <c r="C1219" s="5" t="s">
        <v>17</v>
      </c>
      <c r="D1219" s="5" t="s">
        <v>18</v>
      </c>
      <c r="E1219" s="5" t="s">
        <v>155</v>
      </c>
      <c r="F1219" s="9">
        <v>92</v>
      </c>
      <c r="G1219" s="9">
        <v>1022</v>
      </c>
      <c r="H1219" s="5" t="s">
        <v>20</v>
      </c>
      <c r="I1219" s="5" t="s">
        <v>3166</v>
      </c>
      <c r="J1219" s="12" t="str">
        <f>HYPERLINK("https://www.boe.es/gazeta/dias/1804/11/16/pdfs/GMD-1804-92.pdf#page=10","Abrir facsímil")</f>
        <v>Abrir facsímil</v>
      </c>
      <c r="K1219" s="15" t="s">
        <v>22</v>
      </c>
    </row>
    <row r="1220" spans="1:11" ht="42" customHeight="1">
      <c r="A1220" s="4" t="s">
        <v>3167</v>
      </c>
      <c r="B1220" s="5" t="s">
        <v>3168</v>
      </c>
      <c r="C1220" s="5" t="s">
        <v>262</v>
      </c>
      <c r="D1220" s="5" t="s">
        <v>263</v>
      </c>
      <c r="E1220" s="5" t="s">
        <v>398</v>
      </c>
      <c r="F1220" s="9">
        <v>22</v>
      </c>
      <c r="G1220" s="9">
        <v>250</v>
      </c>
      <c r="H1220" s="5" t="s">
        <v>20</v>
      </c>
      <c r="I1220" s="5" t="s">
        <v>3169</v>
      </c>
      <c r="J1220" s="12" t="str">
        <f>HYPERLINK("https://www.boe.es/gazeta/dias/1804/03/16/pdfs/GMD-C-1804-22.pdf#page=2","Abrir facsímil")</f>
        <v>Abrir facsímil</v>
      </c>
      <c r="K1220" s="15" t="s">
        <v>22</v>
      </c>
    </row>
    <row r="1221" spans="1:11" ht="42" customHeight="1">
      <c r="A1221" s="4" t="s">
        <v>3170</v>
      </c>
      <c r="B1221" s="5" t="s">
        <v>3171</v>
      </c>
      <c r="C1221" s="5" t="s">
        <v>17</v>
      </c>
      <c r="D1221" s="5" t="s">
        <v>18</v>
      </c>
      <c r="E1221" s="5" t="s">
        <v>71</v>
      </c>
      <c r="F1221" s="9">
        <v>99</v>
      </c>
      <c r="G1221" s="9">
        <v>1107</v>
      </c>
      <c r="H1221" s="5" t="s">
        <v>20</v>
      </c>
      <c r="I1221" s="5" t="s">
        <v>3172</v>
      </c>
      <c r="J1221" s="12" t="str">
        <f>HYPERLINK("https://www.boe.es/gazeta/dias/1804/12/11/pdfs/GMD-1804-99.pdf#page=7","Abrir facsímil")</f>
        <v>Abrir facsímil</v>
      </c>
      <c r="K1221" s="15" t="s">
        <v>22</v>
      </c>
    </row>
    <row r="1222" spans="1:11" ht="42" customHeight="1">
      <c r="A1222" s="4" t="s">
        <v>3173</v>
      </c>
      <c r="B1222" s="5" t="s">
        <v>3174</v>
      </c>
      <c r="C1222" s="5" t="s">
        <v>27</v>
      </c>
      <c r="D1222" s="5" t="s">
        <v>28</v>
      </c>
      <c r="E1222" s="5" t="s">
        <v>208</v>
      </c>
      <c r="F1222" s="9">
        <v>97</v>
      </c>
      <c r="G1222" s="9">
        <v>1076</v>
      </c>
      <c r="H1222" s="5" t="s">
        <v>20</v>
      </c>
      <c r="I1222" s="5" t="s">
        <v>3175</v>
      </c>
      <c r="J1222" s="12" t="str">
        <f>HYPERLINK("https://www.boe.es/gazeta/dias/1804/12/04/pdfs/GMD-1804-97.pdf#page=4","Abrir facsímil")</f>
        <v>Abrir facsímil</v>
      </c>
      <c r="K1222" s="15" t="s">
        <v>22</v>
      </c>
    </row>
    <row r="1223" spans="1:11" ht="42" customHeight="1">
      <c r="A1223" s="4" t="s">
        <v>3176</v>
      </c>
      <c r="B1223" s="5" t="s">
        <v>3177</v>
      </c>
      <c r="C1223" s="5" t="s">
        <v>17</v>
      </c>
      <c r="D1223" s="5" t="s">
        <v>18</v>
      </c>
      <c r="E1223" s="5" t="s">
        <v>453</v>
      </c>
      <c r="F1223" s="9">
        <v>33</v>
      </c>
      <c r="G1223" s="9">
        <v>366</v>
      </c>
      <c r="H1223" s="5" t="s">
        <v>20</v>
      </c>
      <c r="I1223" s="5" t="s">
        <v>3178</v>
      </c>
      <c r="J1223" s="12" t="str">
        <f>HYPERLINK("https://www.boe.es/gazeta/dias/1804/04/24/pdfs/GMD-1804-33.pdf#page=8","Abrir facsímil")</f>
        <v>Abrir facsímil</v>
      </c>
      <c r="K1223" s="15" t="s">
        <v>22</v>
      </c>
    </row>
    <row r="1224" spans="1:11" ht="42" customHeight="1">
      <c r="A1224" s="4" t="s">
        <v>3179</v>
      </c>
      <c r="B1224" s="5" t="s">
        <v>3180</v>
      </c>
      <c r="C1224" s="5" t="s">
        <v>27</v>
      </c>
      <c r="D1224" s="5" t="s">
        <v>28</v>
      </c>
      <c r="E1224" s="5" t="s">
        <v>212</v>
      </c>
      <c r="F1224" s="9">
        <v>89</v>
      </c>
      <c r="G1224" s="9">
        <v>990</v>
      </c>
      <c r="H1224" s="5" t="s">
        <v>20</v>
      </c>
      <c r="I1224" s="5" t="s">
        <v>3181</v>
      </c>
      <c r="J1224" s="12" t="str">
        <f>HYPERLINK("https://www.boe.es/gazeta/dias/1804/11/06/pdfs/GMD-1804-89.pdf#page=10","Abrir facsímil")</f>
        <v>Abrir facsímil</v>
      </c>
      <c r="K1224" s="15" t="s">
        <v>22</v>
      </c>
    </row>
    <row r="1225" spans="1:11" ht="42" customHeight="1">
      <c r="A1225" s="4" t="s">
        <v>3182</v>
      </c>
      <c r="B1225" s="5" t="s">
        <v>3183</v>
      </c>
      <c r="C1225" s="5" t="s">
        <v>65</v>
      </c>
      <c r="D1225" s="5" t="s">
        <v>66</v>
      </c>
      <c r="E1225" s="5" t="s">
        <v>623</v>
      </c>
      <c r="F1225" s="9">
        <v>51</v>
      </c>
      <c r="G1225" s="9">
        <v>565</v>
      </c>
      <c r="H1225" s="5" t="s">
        <v>20</v>
      </c>
      <c r="I1225" s="5" t="s">
        <v>3184</v>
      </c>
      <c r="J1225" s="12" t="str">
        <f>HYPERLINK("https://www.boe.es/gazeta/dias/1804/06/26/pdfs/GMD-1804-51.pdf#page=11","Abrir facsímil")</f>
        <v>Abrir facsímil</v>
      </c>
      <c r="K1225" s="15" t="s">
        <v>22</v>
      </c>
    </row>
    <row r="1226" spans="1:11" ht="42" customHeight="1">
      <c r="A1226" s="4" t="s">
        <v>3185</v>
      </c>
      <c r="B1226" s="5" t="s">
        <v>3186</v>
      </c>
      <c r="C1226" s="5" t="s">
        <v>27</v>
      </c>
      <c r="D1226" s="5" t="s">
        <v>28</v>
      </c>
      <c r="E1226" s="5" t="s">
        <v>91</v>
      </c>
      <c r="F1226" s="9">
        <v>72</v>
      </c>
      <c r="G1226" s="9">
        <v>806</v>
      </c>
      <c r="H1226" s="5" t="s">
        <v>20</v>
      </c>
      <c r="I1226" s="5" t="s">
        <v>3187</v>
      </c>
      <c r="J1226" s="12" t="str">
        <f>HYPERLINK("https://www.boe.es/gazeta/dias/1804/09/07/pdfs/GMD-1804-72.pdf#page=8","Abrir facsímil")</f>
        <v>Abrir facsímil</v>
      </c>
      <c r="K1226" s="15" t="s">
        <v>22</v>
      </c>
    </row>
    <row r="1227" spans="1:11" ht="42" customHeight="1">
      <c r="A1227" s="4" t="s">
        <v>3188</v>
      </c>
      <c r="B1227" s="5" t="s">
        <v>3189</v>
      </c>
      <c r="C1227" s="5" t="s">
        <v>27</v>
      </c>
      <c r="D1227" s="5" t="s">
        <v>28</v>
      </c>
      <c r="E1227" s="5" t="s">
        <v>199</v>
      </c>
      <c r="F1227" s="9">
        <v>46</v>
      </c>
      <c r="G1227" s="9">
        <v>513</v>
      </c>
      <c r="H1227" s="5" t="s">
        <v>20</v>
      </c>
      <c r="I1227" s="5" t="s">
        <v>3190</v>
      </c>
      <c r="J1227" s="12" t="str">
        <f>HYPERLINK("https://www.boe.es/gazeta/dias/1804/06/08/pdfs/GMD-1804-46.pdf#page=11","Abrir facsímil")</f>
        <v>Abrir facsímil</v>
      </c>
      <c r="K1227" s="15" t="s">
        <v>22</v>
      </c>
    </row>
    <row r="1228" spans="1:11" ht="42" customHeight="1">
      <c r="A1228" s="4" t="s">
        <v>3191</v>
      </c>
      <c r="B1228" s="5" t="s">
        <v>3192</v>
      </c>
      <c r="C1228" s="5" t="s">
        <v>17</v>
      </c>
      <c r="D1228" s="5" t="s">
        <v>18</v>
      </c>
      <c r="E1228" s="5" t="s">
        <v>587</v>
      </c>
      <c r="F1228" s="9">
        <v>62</v>
      </c>
      <c r="G1228" s="9">
        <v>688</v>
      </c>
      <c r="H1228" s="5" t="s">
        <v>20</v>
      </c>
      <c r="I1228" s="5" t="s">
        <v>3193</v>
      </c>
      <c r="J1228" s="12" t="str">
        <f>HYPERLINK("https://www.boe.es/gazeta/dias/1804/08/03/pdfs/GMD-1804-62.pdf#page=10","Abrir facsímil")</f>
        <v>Abrir facsímil</v>
      </c>
      <c r="K1228" s="15" t="s">
        <v>22</v>
      </c>
    </row>
    <row r="1229" spans="1:11" ht="42" customHeight="1">
      <c r="A1229" s="4" t="s">
        <v>3194</v>
      </c>
      <c r="B1229" s="5" t="s">
        <v>3195</v>
      </c>
      <c r="C1229" s="5" t="s">
        <v>17</v>
      </c>
      <c r="D1229" s="5" t="s">
        <v>18</v>
      </c>
      <c r="E1229" s="5" t="s">
        <v>367</v>
      </c>
      <c r="F1229" s="9">
        <v>64</v>
      </c>
      <c r="G1229" s="9">
        <v>716</v>
      </c>
      <c r="H1229" s="5" t="s">
        <v>20</v>
      </c>
      <c r="I1229" s="5" t="s">
        <v>3196</v>
      </c>
      <c r="J1229" s="12" t="str">
        <f>HYPERLINK("https://www.boe.es/gazeta/dias/1804/08/10/pdfs/GMD-1804-64.pdf#page=10","Abrir facsímil")</f>
        <v>Abrir facsímil</v>
      </c>
      <c r="K1229" s="15" t="s">
        <v>22</v>
      </c>
    </row>
    <row r="1230" spans="1:11" ht="42" customHeight="1">
      <c r="A1230" s="4" t="s">
        <v>3194</v>
      </c>
      <c r="B1230" s="5" t="s">
        <v>3195</v>
      </c>
      <c r="C1230" s="5" t="s">
        <v>17</v>
      </c>
      <c r="D1230" s="5" t="s">
        <v>18</v>
      </c>
      <c r="E1230" s="5" t="s">
        <v>71</v>
      </c>
      <c r="F1230" s="9">
        <v>99</v>
      </c>
      <c r="G1230" s="9">
        <v>1107</v>
      </c>
      <c r="H1230" s="5" t="s">
        <v>20</v>
      </c>
      <c r="I1230" s="5" t="s">
        <v>3197</v>
      </c>
      <c r="J1230" s="12" t="str">
        <f>HYPERLINK("https://www.boe.es/gazeta/dias/1804/12/11/pdfs/GMD-1804-99.pdf#page=7","Abrir facsímil")</f>
        <v>Abrir facsímil</v>
      </c>
      <c r="K1230" s="15" t="s">
        <v>22</v>
      </c>
    </row>
    <row r="1231" spans="1:11" ht="42" customHeight="1">
      <c r="A1231" s="4" t="s">
        <v>3198</v>
      </c>
      <c r="B1231" s="5" t="s">
        <v>3199</v>
      </c>
      <c r="C1231" s="5" t="s">
        <v>65</v>
      </c>
      <c r="D1231" s="5" t="s">
        <v>66</v>
      </c>
      <c r="E1231" s="5" t="s">
        <v>339</v>
      </c>
      <c r="F1231" s="9">
        <v>94</v>
      </c>
      <c r="G1231" s="9">
        <v>1037</v>
      </c>
      <c r="H1231" s="5" t="s">
        <v>20</v>
      </c>
      <c r="I1231" s="5" t="s">
        <v>3200</v>
      </c>
      <c r="J1231" s="12" t="str">
        <f>HYPERLINK("https://www.boe.es/gazeta/dias/1804/11/23/pdfs/GMD-1804-94.pdf#page=5","Abrir facsímil")</f>
        <v>Abrir facsímil</v>
      </c>
      <c r="K1231" s="15" t="s">
        <v>22</v>
      </c>
    </row>
    <row r="1232" spans="1:11" ht="42" customHeight="1">
      <c r="A1232" s="4" t="s">
        <v>3201</v>
      </c>
      <c r="B1232" s="5" t="s">
        <v>3202</v>
      </c>
      <c r="C1232" s="5" t="s">
        <v>27</v>
      </c>
      <c r="D1232" s="5" t="s">
        <v>28</v>
      </c>
      <c r="E1232" s="5" t="s">
        <v>234</v>
      </c>
      <c r="F1232" s="9">
        <v>86</v>
      </c>
      <c r="G1232" s="9">
        <v>948</v>
      </c>
      <c r="H1232" s="5" t="s">
        <v>20</v>
      </c>
      <c r="I1232" s="5" t="s">
        <v>3203</v>
      </c>
      <c r="J1232" s="12" t="str">
        <f>HYPERLINK("https://www.boe.es/gazeta/dias/1804/10/26/pdfs/GMD-1804-86.pdf#page=6","Abrir facsímil")</f>
        <v>Abrir facsímil</v>
      </c>
      <c r="K1232" s="15" t="s">
        <v>22</v>
      </c>
    </row>
    <row r="1233" spans="1:11" ht="42" customHeight="1">
      <c r="A1233" s="4" t="s">
        <v>3204</v>
      </c>
      <c r="B1233" s="5" t="s">
        <v>3205</v>
      </c>
      <c r="C1233" s="5" t="s">
        <v>27</v>
      </c>
      <c r="D1233" s="5" t="s">
        <v>28</v>
      </c>
      <c r="E1233" s="5" t="s">
        <v>71</v>
      </c>
      <c r="F1233" s="9">
        <v>99</v>
      </c>
      <c r="G1233" s="9">
        <v>1106</v>
      </c>
      <c r="H1233" s="5" t="s">
        <v>20</v>
      </c>
      <c r="I1233" s="5" t="s">
        <v>3206</v>
      </c>
      <c r="J1233" s="12" t="str">
        <f>HYPERLINK("https://www.boe.es/gazeta/dias/1804/12/11/pdfs/GMD-1804-99.pdf#page=6","Abrir facsímil")</f>
        <v>Abrir facsímil</v>
      </c>
      <c r="K1233" s="15" t="s">
        <v>22</v>
      </c>
    </row>
    <row r="1234" spans="1:11" ht="42" customHeight="1">
      <c r="A1234" s="4" t="s">
        <v>3207</v>
      </c>
      <c r="B1234" s="5" t="s">
        <v>3208</v>
      </c>
      <c r="C1234" s="5" t="s">
        <v>27</v>
      </c>
      <c r="D1234" s="5" t="s">
        <v>28</v>
      </c>
      <c r="E1234" s="5" t="s">
        <v>199</v>
      </c>
      <c r="F1234" s="9">
        <v>46</v>
      </c>
      <c r="G1234" s="9">
        <v>512</v>
      </c>
      <c r="H1234" s="5" t="s">
        <v>20</v>
      </c>
      <c r="I1234" s="5" t="s">
        <v>3209</v>
      </c>
      <c r="J1234" s="12" t="str">
        <f>HYPERLINK("https://www.boe.es/gazeta/dias/1804/06/08/pdfs/GMD-1804-46.pdf#page=10","Abrir facsímil")</f>
        <v>Abrir facsímil</v>
      </c>
      <c r="K1234" s="15" t="s">
        <v>22</v>
      </c>
    </row>
    <row r="1235" spans="1:11" ht="42" customHeight="1">
      <c r="A1235" s="4" t="s">
        <v>3210</v>
      </c>
      <c r="B1235" s="5" t="s">
        <v>3211</v>
      </c>
      <c r="C1235" s="5" t="s">
        <v>57</v>
      </c>
      <c r="D1235" s="5" t="s">
        <v>58</v>
      </c>
      <c r="E1235" s="5" t="s">
        <v>61</v>
      </c>
      <c r="F1235" s="9">
        <v>61</v>
      </c>
      <c r="G1235" s="9">
        <v>675</v>
      </c>
      <c r="H1235" s="5" t="s">
        <v>20</v>
      </c>
      <c r="I1235" s="5" t="s">
        <v>3212</v>
      </c>
      <c r="J1235" s="12" t="str">
        <f>HYPERLINK("https://www.boe.es/gazeta/dias/1804/07/31/pdfs/GMD-1804-61.pdf#page=5","Abrir facsímil")</f>
        <v>Abrir facsímil</v>
      </c>
      <c r="K1235" s="15" t="s">
        <v>22</v>
      </c>
    </row>
    <row r="1236" spans="1:11" ht="42" customHeight="1">
      <c r="A1236" s="4" t="s">
        <v>3213</v>
      </c>
      <c r="B1236" s="5" t="s">
        <v>3214</v>
      </c>
      <c r="C1236" s="5" t="s">
        <v>198</v>
      </c>
      <c r="D1236" s="5" t="s">
        <v>66</v>
      </c>
      <c r="E1236" s="5" t="s">
        <v>308</v>
      </c>
      <c r="F1236" s="9">
        <v>96</v>
      </c>
      <c r="G1236" s="9">
        <v>1067</v>
      </c>
      <c r="H1236" s="5" t="s">
        <v>20</v>
      </c>
      <c r="I1236" s="5" t="s">
        <v>3215</v>
      </c>
      <c r="J1236" s="12" t="str">
        <f>HYPERLINK("https://www.boe.es/gazeta/dias/1804/11/30/pdfs/GMD-1804-96.pdf#page=7","Abrir facsímil")</f>
        <v>Abrir facsímil</v>
      </c>
      <c r="K1236" s="15" t="s">
        <v>22</v>
      </c>
    </row>
    <row r="1237" spans="1:11" ht="42" customHeight="1">
      <c r="A1237" s="4" t="s">
        <v>3216</v>
      </c>
      <c r="B1237" s="5" t="s">
        <v>3217</v>
      </c>
      <c r="C1237" s="5" t="s">
        <v>17</v>
      </c>
      <c r="D1237" s="5" t="s">
        <v>18</v>
      </c>
      <c r="E1237" s="5" t="s">
        <v>111</v>
      </c>
      <c r="F1237" s="9">
        <v>40</v>
      </c>
      <c r="G1237" s="9">
        <v>449</v>
      </c>
      <c r="H1237" s="5" t="s">
        <v>20</v>
      </c>
      <c r="I1237" s="5" t="s">
        <v>3218</v>
      </c>
      <c r="J1237" s="12" t="str">
        <f>HYPERLINK("https://www.boe.es/gazeta/dias/1804/05/18/pdfs/GMD-1804-40.pdf#page=11","Abrir facsímil")</f>
        <v>Abrir facsímil</v>
      </c>
      <c r="K1237" s="15" t="s">
        <v>22</v>
      </c>
    </row>
    <row r="1238" spans="1:11" ht="42" customHeight="1">
      <c r="A1238" s="4" t="s">
        <v>3219</v>
      </c>
      <c r="B1238" s="5" t="s">
        <v>3220</v>
      </c>
      <c r="C1238" s="5" t="s">
        <v>65</v>
      </c>
      <c r="D1238" s="5" t="s">
        <v>66</v>
      </c>
      <c r="E1238" s="5" t="s">
        <v>87</v>
      </c>
      <c r="F1238" s="9">
        <v>9</v>
      </c>
      <c r="G1238" s="9">
        <v>99</v>
      </c>
      <c r="H1238" s="5" t="s">
        <v>20</v>
      </c>
      <c r="I1238" s="5" t="s">
        <v>3221</v>
      </c>
      <c r="J1238" s="12" t="str">
        <f>HYPERLINK("https://www.boe.es/gazeta/dias/1804/01/31/pdfs/GMD-1804-9.pdf#page=11","Abrir facsímil")</f>
        <v>Abrir facsímil</v>
      </c>
      <c r="K1238" s="15" t="s">
        <v>22</v>
      </c>
    </row>
    <row r="1239" spans="1:11" ht="42" customHeight="1">
      <c r="A1239" s="4" t="s">
        <v>3222</v>
      </c>
      <c r="B1239" s="5" t="s">
        <v>3223</v>
      </c>
      <c r="C1239" s="5" t="s">
        <v>198</v>
      </c>
      <c r="D1239" s="5" t="s">
        <v>66</v>
      </c>
      <c r="E1239" s="5" t="s">
        <v>511</v>
      </c>
      <c r="F1239" s="9">
        <v>12</v>
      </c>
      <c r="G1239" s="9">
        <v>135</v>
      </c>
      <c r="H1239" s="5" t="s">
        <v>20</v>
      </c>
      <c r="I1239" s="5" t="s">
        <v>3224</v>
      </c>
      <c r="J1239" s="12" t="str">
        <f>HYPERLINK("https://www.boe.es/gazeta/dias/1804/02/10/pdfs/GMD-1804-12.pdf#page=11","Abrir facsímil")</f>
        <v>Abrir facsímil</v>
      </c>
      <c r="K1239" s="15" t="s">
        <v>22</v>
      </c>
    </row>
    <row r="1240" spans="1:11" ht="42" customHeight="1">
      <c r="A1240" s="4" t="s">
        <v>3225</v>
      </c>
      <c r="B1240" s="5" t="s">
        <v>3226</v>
      </c>
      <c r="C1240" s="5" t="s">
        <v>17</v>
      </c>
      <c r="D1240" s="5" t="s">
        <v>18</v>
      </c>
      <c r="E1240" s="5" t="s">
        <v>222</v>
      </c>
      <c r="F1240" s="9">
        <v>4</v>
      </c>
      <c r="G1240" s="9">
        <v>39</v>
      </c>
      <c r="H1240" s="5" t="s">
        <v>20</v>
      </c>
      <c r="I1240" s="5" t="s">
        <v>3227</v>
      </c>
      <c r="J1240" s="12" t="str">
        <f>HYPERLINK("https://www.boe.es/gazeta/dias/1804/01/13/pdfs/GMD-1804-4.pdf#page=11","Abrir facsímil")</f>
        <v>Abrir facsímil</v>
      </c>
      <c r="K1240" s="15" t="s">
        <v>22</v>
      </c>
    </row>
    <row r="1241" spans="1:11" ht="42" customHeight="1">
      <c r="A1241" s="4" t="s">
        <v>3225</v>
      </c>
      <c r="B1241" s="5" t="s">
        <v>3226</v>
      </c>
      <c r="C1241" s="5" t="s">
        <v>17</v>
      </c>
      <c r="D1241" s="5" t="s">
        <v>18</v>
      </c>
      <c r="E1241" s="5" t="s">
        <v>587</v>
      </c>
      <c r="F1241" s="9">
        <v>62</v>
      </c>
      <c r="G1241" s="9">
        <v>688</v>
      </c>
      <c r="H1241" s="5" t="s">
        <v>20</v>
      </c>
      <c r="I1241" s="5" t="s">
        <v>3228</v>
      </c>
      <c r="J1241" s="12" t="str">
        <f>HYPERLINK("https://www.boe.es/gazeta/dias/1804/08/03/pdfs/GMD-1804-62.pdf#page=10","Abrir facsímil")</f>
        <v>Abrir facsímil</v>
      </c>
      <c r="K1241" s="15" t="s">
        <v>22</v>
      </c>
    </row>
    <row r="1242" spans="1:11" ht="42" customHeight="1">
      <c r="A1242" s="4" t="s">
        <v>3229</v>
      </c>
      <c r="B1242" s="5" t="s">
        <v>3230</v>
      </c>
      <c r="C1242" s="5" t="s">
        <v>27</v>
      </c>
      <c r="D1242" s="5" t="s">
        <v>28</v>
      </c>
      <c r="E1242" s="5" t="s">
        <v>378</v>
      </c>
      <c r="F1242" s="9">
        <v>65</v>
      </c>
      <c r="G1242" s="9">
        <v>731</v>
      </c>
      <c r="H1242" s="5" t="s">
        <v>20</v>
      </c>
      <c r="I1242" s="5" t="s">
        <v>3231</v>
      </c>
      <c r="J1242" s="12" t="str">
        <f>HYPERLINK("https://www.boe.es/gazeta/dias/1804/08/14/pdfs/GMD-1804-65.pdf#page=9","Abrir facsímil")</f>
        <v>Abrir facsímil</v>
      </c>
      <c r="K1242" s="15" t="s">
        <v>22</v>
      </c>
    </row>
    <row r="1243" spans="1:11" ht="42" customHeight="1">
      <c r="A1243" s="4" t="s">
        <v>3232</v>
      </c>
      <c r="B1243" s="5" t="s">
        <v>3233</v>
      </c>
      <c r="C1243" s="5" t="s">
        <v>27</v>
      </c>
      <c r="D1243" s="5" t="s">
        <v>28</v>
      </c>
      <c r="E1243" s="5" t="s">
        <v>308</v>
      </c>
      <c r="F1243" s="9">
        <v>96</v>
      </c>
      <c r="G1243" s="9">
        <v>1068</v>
      </c>
      <c r="H1243" s="5" t="s">
        <v>20</v>
      </c>
      <c r="I1243" s="5" t="s">
        <v>3234</v>
      </c>
      <c r="J1243" s="12" t="str">
        <f>HYPERLINK("https://www.boe.es/gazeta/dias/1804/11/30/pdfs/GMD-1804-96.pdf#page=8","Abrir facsímil")</f>
        <v>Abrir facsímil</v>
      </c>
      <c r="K1243" s="15" t="s">
        <v>22</v>
      </c>
    </row>
    <row r="1244" spans="1:11" ht="42" customHeight="1">
      <c r="A1244" s="4" t="s">
        <v>3235</v>
      </c>
      <c r="B1244" s="5" t="s">
        <v>3236</v>
      </c>
      <c r="C1244" s="5" t="s">
        <v>17</v>
      </c>
      <c r="D1244" s="5" t="s">
        <v>18</v>
      </c>
      <c r="E1244" s="5" t="s">
        <v>421</v>
      </c>
      <c r="F1244" s="9">
        <v>47</v>
      </c>
      <c r="G1244" s="9">
        <v>528</v>
      </c>
      <c r="H1244" s="5" t="s">
        <v>20</v>
      </c>
      <c r="I1244" s="5" t="s">
        <v>3237</v>
      </c>
      <c r="J1244" s="12" t="str">
        <f>HYPERLINK("https://www.boe.es/gazeta/dias/1804/06/12/pdfs/GMD-1804-47.pdf#page=10","Abrir facsímil")</f>
        <v>Abrir facsímil</v>
      </c>
      <c r="K1244" s="15" t="s">
        <v>22</v>
      </c>
    </row>
    <row r="1245" spans="1:11" ht="42" customHeight="1">
      <c r="A1245" s="4" t="s">
        <v>3238</v>
      </c>
      <c r="B1245" s="5" t="s">
        <v>3239</v>
      </c>
      <c r="C1245" s="5" t="s">
        <v>27</v>
      </c>
      <c r="D1245" s="5" t="s">
        <v>28</v>
      </c>
      <c r="E1245" s="5" t="s">
        <v>61</v>
      </c>
      <c r="F1245" s="9">
        <v>61</v>
      </c>
      <c r="G1245" s="9">
        <v>677</v>
      </c>
      <c r="H1245" s="5" t="s">
        <v>20</v>
      </c>
      <c r="I1245" s="5" t="s">
        <v>3240</v>
      </c>
      <c r="J1245" s="12" t="str">
        <f>HYPERLINK("https://www.boe.es/gazeta/dias/1804/07/31/pdfs/GMD-1804-61.pdf#page=7","Abrir facsímil")</f>
        <v>Abrir facsímil</v>
      </c>
      <c r="K1245" s="15" t="s">
        <v>22</v>
      </c>
    </row>
    <row r="1246" spans="1:11" ht="42" customHeight="1">
      <c r="A1246" s="4" t="s">
        <v>3241</v>
      </c>
      <c r="B1246" s="5" t="s">
        <v>3242</v>
      </c>
      <c r="C1246" s="5" t="s">
        <v>27</v>
      </c>
      <c r="D1246" s="5" t="s">
        <v>28</v>
      </c>
      <c r="E1246" s="5" t="s">
        <v>143</v>
      </c>
      <c r="F1246" s="9">
        <v>87</v>
      </c>
      <c r="G1246" s="9">
        <v>963</v>
      </c>
      <c r="H1246" s="5" t="s">
        <v>20</v>
      </c>
      <c r="I1246" s="5" t="s">
        <v>3243</v>
      </c>
      <c r="J1246" s="12" t="str">
        <f>HYPERLINK("https://www.boe.es/gazeta/dias/1804/10/30/pdfs/GMD-1804-87.pdf#page=7","Abrir facsímil")</f>
        <v>Abrir facsímil</v>
      </c>
      <c r="K1246" s="15" t="s">
        <v>22</v>
      </c>
    </row>
    <row r="1247" spans="1:11" ht="42" customHeight="1">
      <c r="A1247" s="4" t="s">
        <v>3244</v>
      </c>
      <c r="B1247" s="5" t="s">
        <v>3245</v>
      </c>
      <c r="C1247" s="5" t="s">
        <v>198</v>
      </c>
      <c r="D1247" s="5" t="s">
        <v>66</v>
      </c>
      <c r="E1247" s="5" t="s">
        <v>191</v>
      </c>
      <c r="F1247" s="9">
        <v>101</v>
      </c>
      <c r="G1247" s="9">
        <v>1130</v>
      </c>
      <c r="H1247" s="5" t="s">
        <v>20</v>
      </c>
      <c r="I1247" s="5" t="s">
        <v>3246</v>
      </c>
      <c r="J1247" s="12" t="str">
        <f>HYPERLINK("https://www.boe.es/gazeta/dias/1804/12/18/pdfs/GMD-1804-101.pdf#page=10","Abrir facsímil")</f>
        <v>Abrir facsímil</v>
      </c>
      <c r="K1247" s="15" t="s">
        <v>22</v>
      </c>
    </row>
    <row r="1248" spans="1:11" ht="42" customHeight="1">
      <c r="A1248" s="4" t="s">
        <v>3247</v>
      </c>
      <c r="B1248" s="5" t="s">
        <v>3248</v>
      </c>
      <c r="C1248" s="5" t="s">
        <v>17</v>
      </c>
      <c r="D1248" s="5" t="s">
        <v>18</v>
      </c>
      <c r="E1248" s="5" t="s">
        <v>71</v>
      </c>
      <c r="F1248" s="9">
        <v>99</v>
      </c>
      <c r="G1248" s="9">
        <v>1107</v>
      </c>
      <c r="H1248" s="5" t="s">
        <v>20</v>
      </c>
      <c r="I1248" s="5" t="s">
        <v>3249</v>
      </c>
      <c r="J1248" s="12" t="str">
        <f>HYPERLINK("https://www.boe.es/gazeta/dias/1804/12/11/pdfs/GMD-1804-99.pdf#page=7","Abrir facsímil")</f>
        <v>Abrir facsímil</v>
      </c>
      <c r="K1248" s="15" t="s">
        <v>22</v>
      </c>
    </row>
    <row r="1249" spans="1:11" ht="42" customHeight="1">
      <c r="A1249" s="4" t="s">
        <v>3250</v>
      </c>
      <c r="B1249" s="5" t="s">
        <v>3251</v>
      </c>
      <c r="C1249" s="5" t="s">
        <v>65</v>
      </c>
      <c r="D1249" s="5" t="s">
        <v>66</v>
      </c>
      <c r="E1249" s="5" t="s">
        <v>666</v>
      </c>
      <c r="F1249" s="9">
        <v>57</v>
      </c>
      <c r="G1249" s="9">
        <v>634</v>
      </c>
      <c r="H1249" s="5" t="s">
        <v>20</v>
      </c>
      <c r="I1249" s="5" t="s">
        <v>3252</v>
      </c>
      <c r="J1249" s="12" t="str">
        <f>HYPERLINK("https://www.boe.es/gazeta/dias/1804/07/17/pdfs/GMD-1804-57.pdf#page=12","Abrir facsímil")</f>
        <v>Abrir facsímil</v>
      </c>
      <c r="K1249" s="15" t="s">
        <v>22</v>
      </c>
    </row>
    <row r="1250" spans="1:11" ht="42" customHeight="1">
      <c r="A1250" s="4" t="s">
        <v>3250</v>
      </c>
      <c r="B1250" s="5" t="s">
        <v>3251</v>
      </c>
      <c r="C1250" s="5" t="s">
        <v>27</v>
      </c>
      <c r="D1250" s="5" t="s">
        <v>28</v>
      </c>
      <c r="E1250" s="5" t="s">
        <v>466</v>
      </c>
      <c r="F1250" s="9">
        <v>76</v>
      </c>
      <c r="G1250" s="9">
        <v>849</v>
      </c>
      <c r="H1250" s="5" t="s">
        <v>20</v>
      </c>
      <c r="I1250" s="5" t="s">
        <v>3253</v>
      </c>
      <c r="J1250" s="12" t="str">
        <f>HYPERLINK("https://www.boe.es/gazeta/dias/1804/09/21/pdfs/GMD-1804-76.pdf#page=7","Abrir facsímil")</f>
        <v>Abrir facsímil</v>
      </c>
      <c r="K1250" s="15" t="s">
        <v>22</v>
      </c>
    </row>
    <row r="1251" spans="1:11" ht="42" customHeight="1">
      <c r="A1251" s="4" t="s">
        <v>3254</v>
      </c>
      <c r="B1251" s="5" t="s">
        <v>3255</v>
      </c>
      <c r="C1251" s="5" t="s">
        <v>27</v>
      </c>
      <c r="D1251" s="5" t="s">
        <v>28</v>
      </c>
      <c r="E1251" s="5" t="s">
        <v>1278</v>
      </c>
      <c r="F1251" s="9">
        <v>37</v>
      </c>
      <c r="G1251" s="9">
        <v>413</v>
      </c>
      <c r="H1251" s="5" t="s">
        <v>20</v>
      </c>
      <c r="I1251" s="5" t="s">
        <v>3256</v>
      </c>
      <c r="J1251" s="12" t="str">
        <f>HYPERLINK("https://www.boe.es/gazeta/dias/1804/05/08/pdfs/GMD-1804-37.pdf#page=11","Abrir facsímil")</f>
        <v>Abrir facsímil</v>
      </c>
      <c r="K1251" s="15" t="s">
        <v>22</v>
      </c>
    </row>
    <row r="1252" spans="1:11" ht="42" customHeight="1">
      <c r="A1252" s="4" t="s">
        <v>3254</v>
      </c>
      <c r="B1252" s="5" t="s">
        <v>3255</v>
      </c>
      <c r="C1252" s="5" t="s">
        <v>27</v>
      </c>
      <c r="D1252" s="5" t="s">
        <v>28</v>
      </c>
      <c r="E1252" s="5" t="s">
        <v>421</v>
      </c>
      <c r="F1252" s="9">
        <v>47</v>
      </c>
      <c r="G1252" s="9">
        <v>529</v>
      </c>
      <c r="H1252" s="5" t="s">
        <v>20</v>
      </c>
      <c r="I1252" s="5" t="s">
        <v>3257</v>
      </c>
      <c r="J1252" s="12" t="str">
        <f>HYPERLINK("https://www.boe.es/gazeta/dias/1804/06/12/pdfs/GMD-1804-47.pdf#page=11","Abrir facsímil")</f>
        <v>Abrir facsímil</v>
      </c>
      <c r="K1252" s="15" t="s">
        <v>22</v>
      </c>
    </row>
    <row r="1253" spans="1:11" ht="42" customHeight="1">
      <c r="A1253" s="4" t="s">
        <v>3254</v>
      </c>
      <c r="B1253" s="5" t="s">
        <v>3255</v>
      </c>
      <c r="C1253" s="5" t="s">
        <v>27</v>
      </c>
      <c r="D1253" s="5" t="s">
        <v>28</v>
      </c>
      <c r="E1253" s="5" t="s">
        <v>59</v>
      </c>
      <c r="F1253" s="9">
        <v>55</v>
      </c>
      <c r="G1253" s="9">
        <v>613</v>
      </c>
      <c r="H1253" s="5" t="s">
        <v>20</v>
      </c>
      <c r="I1253" s="5" t="s">
        <v>3258</v>
      </c>
      <c r="J1253" s="12" t="str">
        <f>HYPERLINK("https://www.boe.es/gazeta/dias/1804/07/10/pdfs/GMD-1804-55.pdf#page=11","Abrir facsímil")</f>
        <v>Abrir facsímil</v>
      </c>
      <c r="K1253" s="15" t="s">
        <v>22</v>
      </c>
    </row>
    <row r="1254" spans="1:11" ht="42" customHeight="1">
      <c r="A1254" s="4" t="s">
        <v>3254</v>
      </c>
      <c r="B1254" s="5" t="s">
        <v>3255</v>
      </c>
      <c r="C1254" s="5" t="s">
        <v>27</v>
      </c>
      <c r="D1254" s="5" t="s">
        <v>28</v>
      </c>
      <c r="E1254" s="5" t="s">
        <v>332</v>
      </c>
      <c r="F1254" s="9">
        <v>66</v>
      </c>
      <c r="G1254" s="9">
        <v>740</v>
      </c>
      <c r="H1254" s="5" t="s">
        <v>20</v>
      </c>
      <c r="I1254" s="5" t="s">
        <v>3259</v>
      </c>
      <c r="J1254" s="12" t="str">
        <f>HYPERLINK("https://www.boe.es/gazeta/dias/1804/08/17/pdfs/GMD-1804-66.pdf#page=6","Abrir facsímil")</f>
        <v>Abrir facsímil</v>
      </c>
      <c r="K1254" s="15" t="s">
        <v>22</v>
      </c>
    </row>
    <row r="1255" spans="1:11" ht="42" customHeight="1">
      <c r="A1255" s="4" t="s">
        <v>3254</v>
      </c>
      <c r="B1255" s="5" t="s">
        <v>3255</v>
      </c>
      <c r="C1255" s="5" t="s">
        <v>27</v>
      </c>
      <c r="D1255" s="5" t="s">
        <v>28</v>
      </c>
      <c r="E1255" s="5" t="s">
        <v>91</v>
      </c>
      <c r="F1255" s="9">
        <v>72</v>
      </c>
      <c r="G1255" s="9">
        <v>808</v>
      </c>
      <c r="H1255" s="5" t="s">
        <v>20</v>
      </c>
      <c r="I1255" s="5" t="s">
        <v>3260</v>
      </c>
      <c r="J1255" s="12" t="str">
        <f>HYPERLINK("https://www.boe.es/gazeta/dias/1804/09/07/pdfs/GMD-1804-72.pdf#page=10","Abrir facsímil")</f>
        <v>Abrir facsímil</v>
      </c>
      <c r="K1255" s="15" t="s">
        <v>22</v>
      </c>
    </row>
    <row r="1256" spans="1:11" ht="42" customHeight="1">
      <c r="A1256" s="4" t="s">
        <v>3261</v>
      </c>
      <c r="B1256" s="5" t="s">
        <v>3262</v>
      </c>
      <c r="C1256" s="5" t="s">
        <v>85</v>
      </c>
      <c r="D1256" s="5" t="s">
        <v>86</v>
      </c>
      <c r="E1256" s="5" t="s">
        <v>29</v>
      </c>
      <c r="F1256" s="9">
        <v>88</v>
      </c>
      <c r="G1256" s="9">
        <v>978</v>
      </c>
      <c r="H1256" s="5" t="s">
        <v>20</v>
      </c>
      <c r="I1256" s="5" t="s">
        <v>3263</v>
      </c>
      <c r="J1256" s="12" t="str">
        <f>HYPERLINK("https://www.boe.es/gazeta/dias/1804/11/02/pdfs/GMD-1804-88.pdf#page=10","Abrir facsímil")</f>
        <v>Abrir facsímil</v>
      </c>
      <c r="K1256" s="15" t="s">
        <v>22</v>
      </c>
    </row>
    <row r="1257" spans="1:11" ht="42" customHeight="1">
      <c r="A1257" s="4" t="s">
        <v>3254</v>
      </c>
      <c r="B1257" s="5" t="s">
        <v>3255</v>
      </c>
      <c r="C1257" s="5" t="s">
        <v>27</v>
      </c>
      <c r="D1257" s="5" t="s">
        <v>28</v>
      </c>
      <c r="E1257" s="5" t="s">
        <v>950</v>
      </c>
      <c r="F1257" s="9">
        <v>90</v>
      </c>
      <c r="G1257" s="9">
        <v>1000</v>
      </c>
      <c r="H1257" s="5" t="s">
        <v>20</v>
      </c>
      <c r="I1257" s="5" t="s">
        <v>3264</v>
      </c>
      <c r="J1257" s="12" t="str">
        <f>HYPERLINK("https://www.boe.es/gazeta/dias/1804/11/09/pdfs/GMD-1804-90.pdf#page=8","Abrir facsímil")</f>
        <v>Abrir facsímil</v>
      </c>
      <c r="K1257" s="15" t="s">
        <v>22</v>
      </c>
    </row>
    <row r="1258" spans="1:11" ht="42" customHeight="1">
      <c r="A1258" s="4" t="s">
        <v>3254</v>
      </c>
      <c r="B1258" s="5" t="s">
        <v>3255</v>
      </c>
      <c r="C1258" s="5" t="s">
        <v>27</v>
      </c>
      <c r="D1258" s="5" t="s">
        <v>28</v>
      </c>
      <c r="E1258" s="5" t="s">
        <v>23</v>
      </c>
      <c r="F1258" s="9">
        <v>91</v>
      </c>
      <c r="G1258" s="9">
        <v>1010</v>
      </c>
      <c r="H1258" s="5" t="s">
        <v>20</v>
      </c>
      <c r="I1258" s="5" t="s">
        <v>3265</v>
      </c>
      <c r="J1258" s="12" t="str">
        <f>HYPERLINK("https://www.boe.es/gazeta/dias/1804/11/13/pdfs/GMD-1804-91.pdf#page=10","Abrir facsímil")</f>
        <v>Abrir facsímil</v>
      </c>
      <c r="K1258" s="15" t="s">
        <v>22</v>
      </c>
    </row>
    <row r="1259" spans="1:11" ht="42" customHeight="1">
      <c r="A1259" s="4" t="s">
        <v>3254</v>
      </c>
      <c r="B1259" s="5" t="s">
        <v>3255</v>
      </c>
      <c r="C1259" s="5" t="s">
        <v>27</v>
      </c>
      <c r="D1259" s="5" t="s">
        <v>28</v>
      </c>
      <c r="E1259" s="5" t="s">
        <v>23</v>
      </c>
      <c r="F1259" s="9">
        <v>91</v>
      </c>
      <c r="G1259" s="9">
        <v>1011</v>
      </c>
      <c r="H1259" s="5" t="s">
        <v>20</v>
      </c>
      <c r="I1259" s="5" t="s">
        <v>3266</v>
      </c>
      <c r="J1259" s="12" t="str">
        <f>HYPERLINK("https://www.boe.es/gazeta/dias/1804/11/13/pdfs/GMD-1804-91.pdf#page=11","Abrir facsímil")</f>
        <v>Abrir facsímil</v>
      </c>
      <c r="K1259" s="15" t="s">
        <v>22</v>
      </c>
    </row>
    <row r="1260" spans="1:11" ht="42" customHeight="1">
      <c r="A1260" s="4" t="s">
        <v>3254</v>
      </c>
      <c r="B1260" s="5" t="s">
        <v>3255</v>
      </c>
      <c r="C1260" s="5" t="s">
        <v>27</v>
      </c>
      <c r="D1260" s="5" t="s">
        <v>28</v>
      </c>
      <c r="E1260" s="5" t="s">
        <v>71</v>
      </c>
      <c r="F1260" s="9">
        <v>99</v>
      </c>
      <c r="G1260" s="9">
        <v>1108</v>
      </c>
      <c r="H1260" s="5" t="s">
        <v>20</v>
      </c>
      <c r="I1260" s="5" t="s">
        <v>3267</v>
      </c>
      <c r="J1260" s="12" t="str">
        <f>HYPERLINK("https://www.boe.es/gazeta/dias/1804/12/11/pdfs/GMD-1804-99.pdf#page=8","Abrir facsímil")</f>
        <v>Abrir facsímil</v>
      </c>
      <c r="K1260" s="15" t="s">
        <v>22</v>
      </c>
    </row>
    <row r="1261" spans="1:11" ht="42" customHeight="1">
      <c r="A1261" s="4" t="s">
        <v>3268</v>
      </c>
      <c r="B1261" s="5" t="s">
        <v>3269</v>
      </c>
      <c r="C1261" s="5" t="s">
        <v>198</v>
      </c>
      <c r="D1261" s="5" t="s">
        <v>66</v>
      </c>
      <c r="E1261" s="5" t="s">
        <v>736</v>
      </c>
      <c r="F1261" s="9">
        <v>83</v>
      </c>
      <c r="G1261" s="9">
        <v>920</v>
      </c>
      <c r="H1261" s="5" t="s">
        <v>20</v>
      </c>
      <c r="I1261" s="5" t="s">
        <v>3270</v>
      </c>
      <c r="J1261" s="12" t="str">
        <f>HYPERLINK("https://www.boe.es/gazeta/dias/1804/10/16/pdfs/GMD-1804-83.pdf#page=10","Abrir facsímil")</f>
        <v>Abrir facsímil</v>
      </c>
      <c r="K1261" s="15" t="s">
        <v>22</v>
      </c>
    </row>
    <row r="1262" spans="1:11" ht="42" customHeight="1">
      <c r="A1262" s="4" t="s">
        <v>3271</v>
      </c>
      <c r="B1262" s="5" t="s">
        <v>3272</v>
      </c>
      <c r="C1262" s="5" t="s">
        <v>57</v>
      </c>
      <c r="D1262" s="5" t="s">
        <v>58</v>
      </c>
      <c r="E1262" s="5" t="s">
        <v>538</v>
      </c>
      <c r="F1262" s="9">
        <v>27</v>
      </c>
      <c r="G1262" s="9">
        <v>295</v>
      </c>
      <c r="H1262" s="5" t="s">
        <v>20</v>
      </c>
      <c r="I1262" s="5" t="s">
        <v>3273</v>
      </c>
      <c r="J1262" s="12" t="str">
        <f>HYPERLINK("https://www.boe.es/gazeta/dias/1804/04/03/pdfs/GMD-1804-27.pdf#page=1","Abrir facsímil")</f>
        <v>Abrir facsímil</v>
      </c>
      <c r="K1262" s="15" t="s">
        <v>22</v>
      </c>
    </row>
    <row r="1263" spans="1:11" ht="42" customHeight="1">
      <c r="A1263" s="4" t="s">
        <v>3274</v>
      </c>
      <c r="B1263" s="5" t="s">
        <v>3275</v>
      </c>
      <c r="C1263" s="5" t="s">
        <v>27</v>
      </c>
      <c r="D1263" s="5" t="s">
        <v>28</v>
      </c>
      <c r="E1263" s="5" t="s">
        <v>143</v>
      </c>
      <c r="F1263" s="9">
        <v>87</v>
      </c>
      <c r="G1263" s="9">
        <v>965</v>
      </c>
      <c r="H1263" s="5" t="s">
        <v>20</v>
      </c>
      <c r="I1263" s="5" t="s">
        <v>3276</v>
      </c>
      <c r="J1263" s="12" t="str">
        <f>HYPERLINK("https://www.boe.es/gazeta/dias/1804/10/30/pdfs/GMD-1804-87.pdf#page=9","Abrir facsímil")</f>
        <v>Abrir facsímil</v>
      </c>
      <c r="K1263" s="15" t="s">
        <v>22</v>
      </c>
    </row>
    <row r="1264" spans="1:11" ht="42" customHeight="1">
      <c r="A1264" s="4" t="s">
        <v>3277</v>
      </c>
      <c r="B1264" s="5" t="s">
        <v>3278</v>
      </c>
      <c r="C1264" s="5" t="s">
        <v>17</v>
      </c>
      <c r="D1264" s="5" t="s">
        <v>18</v>
      </c>
      <c r="E1264" s="5" t="s">
        <v>143</v>
      </c>
      <c r="F1264" s="9">
        <v>87</v>
      </c>
      <c r="G1264" s="9">
        <v>965</v>
      </c>
      <c r="H1264" s="5" t="s">
        <v>20</v>
      </c>
      <c r="I1264" s="5" t="s">
        <v>3279</v>
      </c>
      <c r="J1264" s="12" t="str">
        <f>HYPERLINK("https://www.boe.es/gazeta/dias/1804/10/30/pdfs/GMD-1804-87.pdf#page=9","Abrir facsímil")</f>
        <v>Abrir facsímil</v>
      </c>
      <c r="K1264" s="15" t="s">
        <v>22</v>
      </c>
    </row>
    <row r="1265" spans="1:11" ht="42" customHeight="1">
      <c r="A1265" s="4" t="s">
        <v>3280</v>
      </c>
      <c r="B1265" s="5" t="s">
        <v>3281</v>
      </c>
      <c r="C1265" s="5" t="s">
        <v>17</v>
      </c>
      <c r="D1265" s="5" t="s">
        <v>18</v>
      </c>
      <c r="E1265" s="5" t="s">
        <v>143</v>
      </c>
      <c r="F1265" s="9">
        <v>87</v>
      </c>
      <c r="G1265" s="9">
        <v>965</v>
      </c>
      <c r="H1265" s="5" t="s">
        <v>20</v>
      </c>
      <c r="I1265" s="5" t="s">
        <v>3282</v>
      </c>
      <c r="J1265" s="12" t="str">
        <f>HYPERLINK("https://www.boe.es/gazeta/dias/1804/10/30/pdfs/GMD-1804-87.pdf#page=9","Abrir facsímil")</f>
        <v>Abrir facsímil</v>
      </c>
      <c r="K1265" s="15" t="s">
        <v>22</v>
      </c>
    </row>
    <row r="1266" spans="1:11" ht="42" customHeight="1">
      <c r="A1266" s="4" t="s">
        <v>3283</v>
      </c>
      <c r="B1266" s="5" t="s">
        <v>3284</v>
      </c>
      <c r="C1266" s="5" t="s">
        <v>27</v>
      </c>
      <c r="D1266" s="5" t="s">
        <v>28</v>
      </c>
      <c r="E1266" s="5" t="s">
        <v>178</v>
      </c>
      <c r="F1266" s="9">
        <v>20</v>
      </c>
      <c r="G1266" s="9">
        <v>220</v>
      </c>
      <c r="H1266" s="5" t="s">
        <v>20</v>
      </c>
      <c r="I1266" s="5" t="s">
        <v>3285</v>
      </c>
      <c r="J1266" s="12" t="str">
        <f>HYPERLINK("https://www.boe.es/gazeta/dias/1804/03/09/pdfs/GMD-1804-20.pdf#page=8","Abrir facsímil")</f>
        <v>Abrir facsímil</v>
      </c>
      <c r="K1266" s="15" t="s">
        <v>22</v>
      </c>
    </row>
    <row r="1267" spans="1:11" ht="42" customHeight="1">
      <c r="A1267" s="4" t="s">
        <v>3286</v>
      </c>
      <c r="B1267" s="5" t="s">
        <v>3287</v>
      </c>
      <c r="C1267" s="5" t="s">
        <v>57</v>
      </c>
      <c r="D1267" s="5" t="s">
        <v>58</v>
      </c>
      <c r="E1267" s="5" t="s">
        <v>736</v>
      </c>
      <c r="F1267" s="9">
        <v>83</v>
      </c>
      <c r="G1267" s="9">
        <v>913</v>
      </c>
      <c r="H1267" s="5" t="s">
        <v>20</v>
      </c>
      <c r="I1267" s="5" t="s">
        <v>3288</v>
      </c>
      <c r="J1267" s="12" t="str">
        <f>HYPERLINK("https://www.boe.es/gazeta/dias/1804/10/16/pdfs/GMD-1804-83.pdf#page=3","Abrir facsímil")</f>
        <v>Abrir facsímil</v>
      </c>
      <c r="K1267" s="15" t="s">
        <v>22</v>
      </c>
    </row>
    <row r="1268" spans="1:11" ht="42" customHeight="1">
      <c r="A1268" s="4" t="s">
        <v>3289</v>
      </c>
      <c r="B1268" s="5" t="s">
        <v>3290</v>
      </c>
      <c r="C1268" s="5" t="s">
        <v>17</v>
      </c>
      <c r="D1268" s="5" t="s">
        <v>18</v>
      </c>
      <c r="E1268" s="5" t="s">
        <v>258</v>
      </c>
      <c r="F1268" s="9">
        <v>14</v>
      </c>
      <c r="G1268" s="9">
        <v>153</v>
      </c>
      <c r="H1268" s="5" t="s">
        <v>20</v>
      </c>
      <c r="I1268" s="5" t="s">
        <v>3291</v>
      </c>
      <c r="J1268" s="12" t="str">
        <f>HYPERLINK("https://www.boe.es/gazeta/dias/1804/02/17/pdfs/GMD-1804-14.pdf#page=9","Abrir facsímil")</f>
        <v>Abrir facsímil</v>
      </c>
      <c r="K1268" s="15" t="s">
        <v>22</v>
      </c>
    </row>
    <row r="1269" spans="1:11" ht="42" customHeight="1">
      <c r="A1269" s="4" t="s">
        <v>3292</v>
      </c>
      <c r="B1269" s="5" t="s">
        <v>3293</v>
      </c>
      <c r="C1269" s="5" t="s">
        <v>27</v>
      </c>
      <c r="D1269" s="5" t="s">
        <v>28</v>
      </c>
      <c r="E1269" s="5" t="s">
        <v>143</v>
      </c>
      <c r="F1269" s="9">
        <v>87</v>
      </c>
      <c r="G1269" s="9">
        <v>963</v>
      </c>
      <c r="H1269" s="5" t="s">
        <v>20</v>
      </c>
      <c r="I1269" s="5" t="s">
        <v>3294</v>
      </c>
      <c r="J1269" s="12" t="str">
        <f>HYPERLINK("https://www.boe.es/gazeta/dias/1804/10/30/pdfs/GMD-1804-87.pdf#page=7","Abrir facsímil")</f>
        <v>Abrir facsímil</v>
      </c>
      <c r="K1269" s="15" t="s">
        <v>22</v>
      </c>
    </row>
    <row r="1270" spans="1:11" ht="42" customHeight="1">
      <c r="A1270" s="4" t="s">
        <v>3295</v>
      </c>
      <c r="B1270" s="5" t="s">
        <v>3296</v>
      </c>
      <c r="C1270" s="5" t="s">
        <v>27</v>
      </c>
      <c r="D1270" s="5" t="s">
        <v>28</v>
      </c>
      <c r="E1270" s="5" t="s">
        <v>222</v>
      </c>
      <c r="F1270" s="9">
        <v>4</v>
      </c>
      <c r="G1270" s="9">
        <v>39</v>
      </c>
      <c r="H1270" s="5" t="s">
        <v>20</v>
      </c>
      <c r="I1270" s="5" t="s">
        <v>3297</v>
      </c>
      <c r="J1270" s="12" t="str">
        <f>HYPERLINK("https://www.boe.es/gazeta/dias/1804/01/13/pdfs/GMD-1804-4.pdf#page=11","Abrir facsímil")</f>
        <v>Abrir facsímil</v>
      </c>
      <c r="K1270" s="15" t="s">
        <v>22</v>
      </c>
    </row>
    <row r="1271" spans="1:11" ht="42" customHeight="1">
      <c r="A1271" s="4" t="s">
        <v>3295</v>
      </c>
      <c r="B1271" s="5" t="s">
        <v>3296</v>
      </c>
      <c r="C1271" s="5" t="s">
        <v>27</v>
      </c>
      <c r="D1271" s="5" t="s">
        <v>28</v>
      </c>
      <c r="E1271" s="5" t="s">
        <v>155</v>
      </c>
      <c r="F1271" s="9">
        <v>92</v>
      </c>
      <c r="G1271" s="9">
        <v>1020</v>
      </c>
      <c r="H1271" s="5" t="s">
        <v>20</v>
      </c>
      <c r="I1271" s="5" t="s">
        <v>3298</v>
      </c>
      <c r="J1271" s="12" t="str">
        <f>HYPERLINK("https://www.boe.es/gazeta/dias/1804/11/16/pdfs/GMD-1804-92.pdf#page=8","Abrir facsímil")</f>
        <v>Abrir facsímil</v>
      </c>
      <c r="K1271" s="15" t="s">
        <v>22</v>
      </c>
    </row>
    <row r="1272" spans="1:11" ht="42" customHeight="1">
      <c r="A1272" s="4" t="s">
        <v>3299</v>
      </c>
      <c r="B1272" s="5" t="s">
        <v>3300</v>
      </c>
      <c r="C1272" s="5" t="s">
        <v>27</v>
      </c>
      <c r="D1272" s="5" t="s">
        <v>28</v>
      </c>
      <c r="E1272" s="5" t="s">
        <v>71</v>
      </c>
      <c r="F1272" s="9">
        <v>99</v>
      </c>
      <c r="G1272" s="9">
        <v>1106</v>
      </c>
      <c r="H1272" s="5" t="s">
        <v>20</v>
      </c>
      <c r="I1272" s="5" t="s">
        <v>3301</v>
      </c>
      <c r="J1272" s="12" t="str">
        <f>HYPERLINK("https://www.boe.es/gazeta/dias/1804/12/11/pdfs/GMD-1804-99.pdf#page=6","Abrir facsímil")</f>
        <v>Abrir facsímil</v>
      </c>
      <c r="K1272" s="15" t="s">
        <v>22</v>
      </c>
    </row>
    <row r="1273" spans="1:11" ht="42" customHeight="1">
      <c r="A1273" s="4" t="s">
        <v>3302</v>
      </c>
      <c r="B1273" s="5" t="s">
        <v>3303</v>
      </c>
      <c r="C1273" s="5" t="s">
        <v>17</v>
      </c>
      <c r="D1273" s="5" t="s">
        <v>18</v>
      </c>
      <c r="E1273" s="5" t="s">
        <v>736</v>
      </c>
      <c r="F1273" s="9">
        <v>83</v>
      </c>
      <c r="G1273" s="9">
        <v>918</v>
      </c>
      <c r="H1273" s="5" t="s">
        <v>20</v>
      </c>
      <c r="I1273" s="5" t="s">
        <v>3304</v>
      </c>
      <c r="J1273" s="12" t="str">
        <f>HYPERLINK("https://www.boe.es/gazeta/dias/1804/10/16/pdfs/GMD-1804-83.pdf#page=8","Abrir facsímil")</f>
        <v>Abrir facsímil</v>
      </c>
      <c r="K1273" s="15" t="s">
        <v>22</v>
      </c>
    </row>
    <row r="1274" spans="1:11" ht="42" customHeight="1">
      <c r="A1274" s="4" t="s">
        <v>3305</v>
      </c>
      <c r="B1274" s="5" t="s">
        <v>3306</v>
      </c>
      <c r="C1274" s="5" t="s">
        <v>17</v>
      </c>
      <c r="D1274" s="5" t="s">
        <v>18</v>
      </c>
      <c r="E1274" s="5" t="s">
        <v>111</v>
      </c>
      <c r="F1274" s="9">
        <v>40</v>
      </c>
      <c r="G1274" s="9">
        <v>448</v>
      </c>
      <c r="H1274" s="5" t="s">
        <v>20</v>
      </c>
      <c r="I1274" s="5" t="s">
        <v>3307</v>
      </c>
      <c r="J1274" s="12" t="str">
        <f>HYPERLINK("https://www.boe.es/gazeta/dias/1804/05/18/pdfs/GMD-1804-40.pdf#page=10","Abrir facsímil")</f>
        <v>Abrir facsímil</v>
      </c>
      <c r="K1274" s="15" t="s">
        <v>22</v>
      </c>
    </row>
    <row r="1275" spans="1:11" ht="42" customHeight="1">
      <c r="A1275" s="4" t="s">
        <v>3308</v>
      </c>
      <c r="B1275" s="5" t="s">
        <v>3309</v>
      </c>
      <c r="C1275" s="5" t="s">
        <v>65</v>
      </c>
      <c r="D1275" s="5" t="s">
        <v>66</v>
      </c>
      <c r="E1275" s="5" t="s">
        <v>736</v>
      </c>
      <c r="F1275" s="9">
        <v>83</v>
      </c>
      <c r="G1275" s="9">
        <v>919</v>
      </c>
      <c r="H1275" s="5" t="s">
        <v>20</v>
      </c>
      <c r="I1275" s="5" t="s">
        <v>3310</v>
      </c>
      <c r="J1275" s="12" t="str">
        <f>HYPERLINK("https://www.boe.es/gazeta/dias/1804/10/16/pdfs/GMD-1804-83.pdf#page=9","Abrir facsímil")</f>
        <v>Abrir facsímil</v>
      </c>
      <c r="K1275" s="15" t="s">
        <v>22</v>
      </c>
    </row>
    <row r="1276" spans="1:11" ht="42" customHeight="1">
      <c r="A1276" s="4" t="s">
        <v>3311</v>
      </c>
      <c r="B1276" s="5" t="s">
        <v>3312</v>
      </c>
      <c r="C1276" s="5" t="s">
        <v>17</v>
      </c>
      <c r="D1276" s="5" t="s">
        <v>18</v>
      </c>
      <c r="E1276" s="5" t="s">
        <v>222</v>
      </c>
      <c r="F1276" s="9">
        <v>4</v>
      </c>
      <c r="G1276" s="9">
        <v>38</v>
      </c>
      <c r="H1276" s="5" t="s">
        <v>20</v>
      </c>
      <c r="I1276" s="5" t="s">
        <v>3313</v>
      </c>
      <c r="J1276" s="12" t="str">
        <f>HYPERLINK("https://www.boe.es/gazeta/dias/1804/01/13/pdfs/GMD-1804-4.pdf#page=10","Abrir facsímil")</f>
        <v>Abrir facsímil</v>
      </c>
      <c r="K1276" s="15" t="s">
        <v>22</v>
      </c>
    </row>
    <row r="1277" spans="1:11" ht="42" customHeight="1">
      <c r="A1277" s="4" t="s">
        <v>3314</v>
      </c>
      <c r="B1277" s="5" t="s">
        <v>3315</v>
      </c>
      <c r="C1277" s="5" t="s">
        <v>17</v>
      </c>
      <c r="D1277" s="5" t="s">
        <v>18</v>
      </c>
      <c r="E1277" s="5" t="s">
        <v>71</v>
      </c>
      <c r="F1277" s="9">
        <v>99</v>
      </c>
      <c r="G1277" s="9">
        <v>1107</v>
      </c>
      <c r="H1277" s="5" t="s">
        <v>20</v>
      </c>
      <c r="I1277" s="5" t="s">
        <v>3316</v>
      </c>
      <c r="J1277" s="12" t="str">
        <f>HYPERLINK("https://www.boe.es/gazeta/dias/1804/12/11/pdfs/GMD-1804-99.pdf#page=7","Abrir facsímil")</f>
        <v>Abrir facsímil</v>
      </c>
      <c r="K1277" s="15" t="s">
        <v>22</v>
      </c>
    </row>
    <row r="1278" spans="1:11" ht="42" customHeight="1">
      <c r="A1278" s="4" t="s">
        <v>3317</v>
      </c>
      <c r="B1278" s="5" t="s">
        <v>3318</v>
      </c>
      <c r="C1278" s="5" t="s">
        <v>198</v>
      </c>
      <c r="D1278" s="5" t="s">
        <v>66</v>
      </c>
      <c r="E1278" s="5" t="s">
        <v>91</v>
      </c>
      <c r="F1278" s="9">
        <v>72</v>
      </c>
      <c r="G1278" s="9">
        <v>808</v>
      </c>
      <c r="H1278" s="5" t="s">
        <v>20</v>
      </c>
      <c r="I1278" s="5" t="s">
        <v>3319</v>
      </c>
      <c r="J1278" s="12" t="str">
        <f>HYPERLINK("https://www.boe.es/gazeta/dias/1804/09/07/pdfs/GMD-1804-72.pdf#page=10","Abrir facsímil")</f>
        <v>Abrir facsímil</v>
      </c>
      <c r="K1278" s="15" t="s">
        <v>22</v>
      </c>
    </row>
    <row r="1279" spans="1:11" ht="42" customHeight="1">
      <c r="A1279" s="4" t="s">
        <v>3320</v>
      </c>
      <c r="B1279" s="5" t="s">
        <v>3321</v>
      </c>
      <c r="C1279" s="5" t="s">
        <v>27</v>
      </c>
      <c r="D1279" s="5" t="s">
        <v>28</v>
      </c>
      <c r="E1279" s="5" t="s">
        <v>191</v>
      </c>
      <c r="F1279" s="9">
        <v>101</v>
      </c>
      <c r="G1279" s="9">
        <v>1128</v>
      </c>
      <c r="H1279" s="5" t="s">
        <v>20</v>
      </c>
      <c r="I1279" s="5" t="s">
        <v>3322</v>
      </c>
      <c r="J1279" s="12" t="str">
        <f>HYPERLINK("https://www.boe.es/gazeta/dias/1804/12/18/pdfs/GMD-1804-101.pdf#page=8","Abrir facsímil")</f>
        <v>Abrir facsímil</v>
      </c>
      <c r="K1279" s="15" t="s">
        <v>22</v>
      </c>
    </row>
    <row r="1280" spans="1:11" ht="42" customHeight="1">
      <c r="A1280" s="4" t="s">
        <v>3323</v>
      </c>
      <c r="B1280" s="5" t="s">
        <v>3324</v>
      </c>
      <c r="C1280" s="5" t="s">
        <v>27</v>
      </c>
      <c r="D1280" s="5" t="s">
        <v>28</v>
      </c>
      <c r="E1280" s="5" t="s">
        <v>191</v>
      </c>
      <c r="F1280" s="9">
        <v>101</v>
      </c>
      <c r="G1280" s="9">
        <v>1128</v>
      </c>
      <c r="H1280" s="5" t="s">
        <v>20</v>
      </c>
      <c r="I1280" s="5" t="s">
        <v>3325</v>
      </c>
      <c r="J1280" s="12" t="str">
        <f>HYPERLINK("https://www.boe.es/gazeta/dias/1804/12/18/pdfs/GMD-1804-101.pdf#page=8","Abrir facsímil")</f>
        <v>Abrir facsímil</v>
      </c>
      <c r="K1280" s="15" t="s">
        <v>22</v>
      </c>
    </row>
    <row r="1281" spans="1:11" ht="42" customHeight="1">
      <c r="A1281" s="4" t="s">
        <v>3326</v>
      </c>
      <c r="B1281" s="5" t="s">
        <v>3327</v>
      </c>
      <c r="C1281" s="5" t="s">
        <v>65</v>
      </c>
      <c r="D1281" s="5" t="s">
        <v>66</v>
      </c>
      <c r="E1281" s="5" t="s">
        <v>950</v>
      </c>
      <c r="F1281" s="9">
        <v>90</v>
      </c>
      <c r="G1281" s="9">
        <v>998</v>
      </c>
      <c r="H1281" s="5" t="s">
        <v>20</v>
      </c>
      <c r="I1281" s="5" t="s">
        <v>3328</v>
      </c>
      <c r="J1281" s="12" t="str">
        <f>HYPERLINK("https://www.boe.es/gazeta/dias/1804/11/09/pdfs/GMD-1804-90.pdf#page=6","Abrir facsímil")</f>
        <v>Abrir facsímil</v>
      </c>
      <c r="K1281" s="15" t="s">
        <v>22</v>
      </c>
    </row>
    <row r="1282" spans="1:11" ht="42" customHeight="1">
      <c r="A1282" s="4" t="s">
        <v>3329</v>
      </c>
      <c r="B1282" s="5" t="s">
        <v>3330</v>
      </c>
      <c r="C1282" s="5" t="s">
        <v>262</v>
      </c>
      <c r="D1282" s="5" t="s">
        <v>263</v>
      </c>
      <c r="E1282" s="5" t="s">
        <v>264</v>
      </c>
      <c r="F1282" s="9">
        <v>49</v>
      </c>
      <c r="G1282" s="9" t="s">
        <v>2383</v>
      </c>
      <c r="H1282" s="5" t="s">
        <v>20</v>
      </c>
      <c r="I1282" s="5" t="s">
        <v>3331</v>
      </c>
      <c r="J1282" s="12" t="str">
        <f>HYPERLINK("https://www.boe.es/gazeta/dias/1804/06/19/pdfs/GMD-C-1804-49.pdf#page=6","Abrir facsímil")</f>
        <v>Abrir facsímil</v>
      </c>
      <c r="K1282" s="15" t="s">
        <v>22</v>
      </c>
    </row>
    <row r="1283" spans="1:11" ht="42" customHeight="1">
      <c r="A1283" s="4" t="s">
        <v>3332</v>
      </c>
      <c r="B1283" s="5" t="s">
        <v>3333</v>
      </c>
      <c r="C1283" s="5" t="s">
        <v>17</v>
      </c>
      <c r="D1283" s="5" t="s">
        <v>18</v>
      </c>
      <c r="E1283" s="5" t="s">
        <v>29</v>
      </c>
      <c r="F1283" s="9">
        <v>88</v>
      </c>
      <c r="G1283" s="9">
        <v>977</v>
      </c>
      <c r="H1283" s="5" t="s">
        <v>20</v>
      </c>
      <c r="I1283" s="5" t="s">
        <v>3334</v>
      </c>
      <c r="J1283" s="12" t="str">
        <f>HYPERLINK("https://www.boe.es/gazeta/dias/1804/11/02/pdfs/GMD-1804-88.pdf#page=9","Abrir facsímil")</f>
        <v>Abrir facsímil</v>
      </c>
      <c r="K1283" s="15" t="s">
        <v>22</v>
      </c>
    </row>
    <row r="1284" spans="1:11" ht="42" customHeight="1">
      <c r="A1284" s="4" t="s">
        <v>3335</v>
      </c>
      <c r="B1284" s="5" t="s">
        <v>3336</v>
      </c>
      <c r="C1284" s="5" t="s">
        <v>198</v>
      </c>
      <c r="D1284" s="5" t="s">
        <v>66</v>
      </c>
      <c r="E1284" s="5" t="s">
        <v>709</v>
      </c>
      <c r="F1284" s="9">
        <v>82</v>
      </c>
      <c r="G1284" s="9">
        <v>909</v>
      </c>
      <c r="H1284" s="5" t="s">
        <v>20</v>
      </c>
      <c r="I1284" s="5" t="s">
        <v>3337</v>
      </c>
      <c r="J1284" s="12" t="str">
        <f>HYPERLINK("https://www.boe.es/gazeta/dias/1804/10/12/pdfs/GMD-1804-82.pdf#page=11","Abrir facsímil")</f>
        <v>Abrir facsímil</v>
      </c>
      <c r="K1284" s="15" t="s">
        <v>22</v>
      </c>
    </row>
    <row r="1285" spans="1:11" ht="42" customHeight="1">
      <c r="A1285" s="4" t="s">
        <v>3338</v>
      </c>
      <c r="B1285" s="5" t="s">
        <v>3339</v>
      </c>
      <c r="C1285" s="5" t="s">
        <v>198</v>
      </c>
      <c r="D1285" s="5" t="s">
        <v>66</v>
      </c>
      <c r="E1285" s="5" t="s">
        <v>526</v>
      </c>
      <c r="F1285" s="9">
        <v>95</v>
      </c>
      <c r="G1285" s="9">
        <v>1059</v>
      </c>
      <c r="H1285" s="5" t="s">
        <v>20</v>
      </c>
      <c r="I1285" s="5" t="s">
        <v>3340</v>
      </c>
      <c r="J1285" s="12" t="str">
        <f>HYPERLINK("https://www.boe.es/gazeta/dias/1804/11/27/pdfs/GMD-1804-95.pdf#page=11","Abrir facsímil")</f>
        <v>Abrir facsímil</v>
      </c>
      <c r="K1285" s="15" t="s">
        <v>22</v>
      </c>
    </row>
    <row r="1286" spans="1:11" ht="42" customHeight="1">
      <c r="A1286" s="4" t="s">
        <v>3341</v>
      </c>
      <c r="B1286" s="5" t="s">
        <v>3342</v>
      </c>
      <c r="C1286" s="5" t="s">
        <v>262</v>
      </c>
      <c r="D1286" s="5" t="s">
        <v>263</v>
      </c>
      <c r="E1286" s="5" t="s">
        <v>398</v>
      </c>
      <c r="F1286" s="9">
        <v>22</v>
      </c>
      <c r="G1286" s="9">
        <v>250</v>
      </c>
      <c r="H1286" s="5" t="s">
        <v>20</v>
      </c>
      <c r="I1286" s="5" t="s">
        <v>3343</v>
      </c>
      <c r="J1286" s="12" t="str">
        <f>HYPERLINK("https://www.boe.es/gazeta/dias/1804/03/16/pdfs/GMD-C-1804-22.pdf#page=2","Abrir facsímil")</f>
        <v>Abrir facsímil</v>
      </c>
      <c r="K1286" s="15" t="s">
        <v>22</v>
      </c>
    </row>
    <row r="1287" spans="1:11" ht="42" customHeight="1">
      <c r="A1287" s="4" t="s">
        <v>3341</v>
      </c>
      <c r="B1287" s="5" t="s">
        <v>3342</v>
      </c>
      <c r="C1287" s="5" t="s">
        <v>262</v>
      </c>
      <c r="D1287" s="5" t="s">
        <v>263</v>
      </c>
      <c r="E1287" s="5" t="s">
        <v>666</v>
      </c>
      <c r="F1287" s="9">
        <v>57</v>
      </c>
      <c r="G1287" s="9">
        <v>636</v>
      </c>
      <c r="H1287" s="5" t="s">
        <v>20</v>
      </c>
      <c r="I1287" s="5" t="s">
        <v>3344</v>
      </c>
      <c r="J1287" s="12" t="str">
        <f>HYPERLINK("https://www.boe.es/gazeta/dias/1804/07/17/pdfs/GMD-C-1804-57.pdf#page=2","Abrir facsímil")</f>
        <v>Abrir facsímil</v>
      </c>
      <c r="K1287" s="15" t="s">
        <v>22</v>
      </c>
    </row>
    <row r="1288" spans="1:11" ht="42" customHeight="1">
      <c r="A1288" s="4" t="s">
        <v>3345</v>
      </c>
      <c r="B1288" s="5" t="s">
        <v>3346</v>
      </c>
      <c r="C1288" s="5" t="s">
        <v>27</v>
      </c>
      <c r="D1288" s="5" t="s">
        <v>28</v>
      </c>
      <c r="E1288" s="5" t="s">
        <v>191</v>
      </c>
      <c r="F1288" s="9">
        <v>101</v>
      </c>
      <c r="G1288" s="9">
        <v>1128</v>
      </c>
      <c r="H1288" s="5" t="s">
        <v>20</v>
      </c>
      <c r="I1288" s="5" t="s">
        <v>3347</v>
      </c>
      <c r="J1288" s="12" t="str">
        <f>HYPERLINK("https://www.boe.es/gazeta/dias/1804/12/18/pdfs/GMD-1804-101.pdf#page=8","Abrir facsímil")</f>
        <v>Abrir facsímil</v>
      </c>
      <c r="K1288" s="15" t="s">
        <v>22</v>
      </c>
    </row>
    <row r="1289" spans="1:11" ht="42" customHeight="1">
      <c r="A1289" s="4" t="s">
        <v>3348</v>
      </c>
      <c r="B1289" s="5" t="s">
        <v>3349</v>
      </c>
      <c r="C1289" s="5" t="s">
        <v>17</v>
      </c>
      <c r="D1289" s="5" t="s">
        <v>18</v>
      </c>
      <c r="E1289" s="5" t="s">
        <v>71</v>
      </c>
      <c r="F1289" s="9">
        <v>99</v>
      </c>
      <c r="G1289" s="9">
        <v>1106</v>
      </c>
      <c r="H1289" s="5" t="s">
        <v>20</v>
      </c>
      <c r="I1289" s="5" t="s">
        <v>3350</v>
      </c>
      <c r="J1289" s="12" t="str">
        <f>HYPERLINK("https://www.boe.es/gazeta/dias/1804/12/11/pdfs/GMD-1804-99.pdf#page=6","Abrir facsímil")</f>
        <v>Abrir facsímil</v>
      </c>
      <c r="K1289" s="15" t="s">
        <v>22</v>
      </c>
    </row>
    <row r="1290" spans="1:11" ht="42" customHeight="1">
      <c r="A1290" s="4" t="s">
        <v>3351</v>
      </c>
      <c r="B1290" s="5" t="s">
        <v>3352</v>
      </c>
      <c r="C1290" s="5" t="s">
        <v>17</v>
      </c>
      <c r="D1290" s="5" t="s">
        <v>18</v>
      </c>
      <c r="E1290" s="5" t="s">
        <v>47</v>
      </c>
      <c r="F1290" s="9">
        <v>78</v>
      </c>
      <c r="G1290" s="9">
        <v>870</v>
      </c>
      <c r="H1290" s="5" t="s">
        <v>20</v>
      </c>
      <c r="I1290" s="5" t="s">
        <v>3353</v>
      </c>
      <c r="J1290" s="12" t="str">
        <f>HYPERLINK("https://www.boe.es/gazeta/dias/1804/09/28/pdfs/GMD-1804-78.pdf#page=8","Abrir facsímil")</f>
        <v>Abrir facsímil</v>
      </c>
      <c r="K1290" s="15" t="s">
        <v>22</v>
      </c>
    </row>
    <row r="1291" spans="1:11" ht="42" customHeight="1">
      <c r="A1291" s="4" t="s">
        <v>3354</v>
      </c>
      <c r="B1291" s="5" t="s">
        <v>3355</v>
      </c>
      <c r="C1291" s="5" t="s">
        <v>85</v>
      </c>
      <c r="D1291" s="5" t="s">
        <v>86</v>
      </c>
      <c r="E1291" s="5" t="s">
        <v>709</v>
      </c>
      <c r="F1291" s="9">
        <v>82</v>
      </c>
      <c r="G1291" s="9">
        <v>910</v>
      </c>
      <c r="H1291" s="5" t="s">
        <v>20</v>
      </c>
      <c r="I1291" s="5" t="s">
        <v>3356</v>
      </c>
      <c r="J1291" s="12" t="str">
        <f>HYPERLINK("https://www.boe.es/gazeta/dias/1804/10/12/pdfs/GMD-1804-82.pdf#page=12","Abrir facsímil")</f>
        <v>Abrir facsímil</v>
      </c>
      <c r="K1291" s="15" t="s">
        <v>22</v>
      </c>
    </row>
    <row r="1292" spans="1:11" ht="42" customHeight="1">
      <c r="A1292" s="4" t="s">
        <v>3357</v>
      </c>
      <c r="B1292" s="5" t="s">
        <v>3358</v>
      </c>
      <c r="C1292" s="5" t="s">
        <v>27</v>
      </c>
      <c r="D1292" s="5" t="s">
        <v>28</v>
      </c>
      <c r="E1292" s="5" t="s">
        <v>61</v>
      </c>
      <c r="F1292" s="9">
        <v>61</v>
      </c>
      <c r="G1292" s="9">
        <v>675</v>
      </c>
      <c r="H1292" s="5" t="s">
        <v>20</v>
      </c>
      <c r="I1292" s="5" t="s">
        <v>3359</v>
      </c>
      <c r="J1292" s="12" t="str">
        <f>HYPERLINK("https://www.boe.es/gazeta/dias/1804/07/31/pdfs/GMD-1804-61.pdf#page=5","Abrir facsímil")</f>
        <v>Abrir facsímil</v>
      </c>
      <c r="K1292" s="15" t="s">
        <v>22</v>
      </c>
    </row>
    <row r="1293" spans="1:11" ht="42" customHeight="1">
      <c r="A1293" s="4" t="s">
        <v>3360</v>
      </c>
      <c r="B1293" s="5" t="s">
        <v>3361</v>
      </c>
      <c r="C1293" s="5" t="s">
        <v>17</v>
      </c>
      <c r="D1293" s="5" t="s">
        <v>18</v>
      </c>
      <c r="E1293" s="5" t="s">
        <v>191</v>
      </c>
      <c r="F1293" s="9">
        <v>101</v>
      </c>
      <c r="G1293" s="9">
        <v>1128</v>
      </c>
      <c r="H1293" s="5" t="s">
        <v>20</v>
      </c>
      <c r="I1293" s="5" t="s">
        <v>3362</v>
      </c>
      <c r="J1293" s="12" t="str">
        <f>HYPERLINK("https://www.boe.es/gazeta/dias/1804/12/18/pdfs/GMD-1804-101.pdf#page=8","Abrir facsímil")</f>
        <v>Abrir facsímil</v>
      </c>
      <c r="K1293" s="15" t="s">
        <v>22</v>
      </c>
    </row>
    <row r="1294" spans="1:11" ht="42" customHeight="1">
      <c r="A1294" s="4" t="s">
        <v>3363</v>
      </c>
      <c r="B1294" s="5" t="s">
        <v>3364</v>
      </c>
      <c r="C1294" s="5" t="s">
        <v>65</v>
      </c>
      <c r="D1294" s="5" t="s">
        <v>66</v>
      </c>
      <c r="E1294" s="5" t="s">
        <v>182</v>
      </c>
      <c r="F1294" s="9">
        <v>21</v>
      </c>
      <c r="G1294" s="9">
        <v>233</v>
      </c>
      <c r="H1294" s="5" t="s">
        <v>20</v>
      </c>
      <c r="I1294" s="5" t="s">
        <v>3365</v>
      </c>
      <c r="J1294" s="12" t="str">
        <f>HYPERLINK("https://www.boe.es/gazeta/dias/1804/03/13/pdfs/GMD-1804-21.pdf#page=9","Abrir facsímil")</f>
        <v>Abrir facsímil</v>
      </c>
      <c r="K1294" s="15" t="s">
        <v>22</v>
      </c>
    </row>
    <row r="1295" spans="1:11" ht="42" customHeight="1">
      <c r="A1295" s="4" t="s">
        <v>3366</v>
      </c>
      <c r="B1295" s="5" t="s">
        <v>3367</v>
      </c>
      <c r="C1295" s="5" t="s">
        <v>65</v>
      </c>
      <c r="D1295" s="5" t="s">
        <v>66</v>
      </c>
      <c r="E1295" s="5" t="s">
        <v>538</v>
      </c>
      <c r="F1295" s="9">
        <v>27</v>
      </c>
      <c r="G1295" s="9">
        <v>300</v>
      </c>
      <c r="H1295" s="5" t="s">
        <v>20</v>
      </c>
      <c r="I1295" s="5" t="s">
        <v>3368</v>
      </c>
      <c r="J1295" s="12" t="str">
        <f>HYPERLINK("https://www.boe.es/gazeta/dias/1804/04/03/pdfs/GMD-1804-27.pdf#page=6","Abrir facsímil")</f>
        <v>Abrir facsímil</v>
      </c>
      <c r="K1295" s="15" t="s">
        <v>22</v>
      </c>
    </row>
    <row r="1296" spans="1:11" ht="42" customHeight="1">
      <c r="A1296" s="4" t="s">
        <v>3369</v>
      </c>
      <c r="B1296" s="5" t="s">
        <v>3370</v>
      </c>
      <c r="C1296" s="5" t="s">
        <v>27</v>
      </c>
      <c r="D1296" s="5" t="s">
        <v>28</v>
      </c>
      <c r="E1296" s="5" t="s">
        <v>199</v>
      </c>
      <c r="F1296" s="9">
        <v>46</v>
      </c>
      <c r="G1296" s="9">
        <v>512</v>
      </c>
      <c r="H1296" s="5" t="s">
        <v>20</v>
      </c>
      <c r="I1296" s="5" t="s">
        <v>3371</v>
      </c>
      <c r="J1296" s="12" t="str">
        <f>HYPERLINK("https://www.boe.es/gazeta/dias/1804/06/08/pdfs/GMD-1804-46.pdf#page=10","Abrir facsímil")</f>
        <v>Abrir facsímil</v>
      </c>
      <c r="K1296" s="15" t="s">
        <v>22</v>
      </c>
    </row>
    <row r="1297" spans="1:11" ht="42" customHeight="1">
      <c r="A1297" s="4" t="s">
        <v>3372</v>
      </c>
      <c r="B1297" s="5" t="s">
        <v>3373</v>
      </c>
      <c r="C1297" s="5" t="s">
        <v>27</v>
      </c>
      <c r="D1297" s="5" t="s">
        <v>28</v>
      </c>
      <c r="E1297" s="5" t="s">
        <v>206</v>
      </c>
      <c r="F1297" s="9">
        <v>44</v>
      </c>
      <c r="G1297" s="9">
        <v>489</v>
      </c>
      <c r="H1297" s="5" t="s">
        <v>20</v>
      </c>
      <c r="I1297" s="5" t="s">
        <v>3374</v>
      </c>
      <c r="J1297" s="12" t="str">
        <f>HYPERLINK("https://www.boe.es/gazeta/dias/1804/06/01/pdfs/GMD-1804-44.pdf#page=7","Abrir facsímil")</f>
        <v>Abrir facsímil</v>
      </c>
      <c r="K1297" s="15" t="s">
        <v>22</v>
      </c>
    </row>
    <row r="1298" spans="1:11" ht="42" customHeight="1">
      <c r="A1298" s="4" t="s">
        <v>3375</v>
      </c>
      <c r="B1298" s="5" t="s">
        <v>3376</v>
      </c>
      <c r="C1298" s="5" t="s">
        <v>198</v>
      </c>
      <c r="D1298" s="5" t="s">
        <v>66</v>
      </c>
      <c r="E1298" s="5" t="s">
        <v>1095</v>
      </c>
      <c r="F1298" s="9">
        <v>73</v>
      </c>
      <c r="G1298" s="9">
        <v>819</v>
      </c>
      <c r="H1298" s="5" t="s">
        <v>20</v>
      </c>
      <c r="I1298" s="5" t="s">
        <v>3377</v>
      </c>
      <c r="J1298" s="12" t="str">
        <f>HYPERLINK("https://www.boe.es/gazeta/dias/1804/09/11/pdfs/GMD-1804-73.pdf#page=9","Abrir facsímil")</f>
        <v>Abrir facsímil</v>
      </c>
      <c r="K1298" s="15" t="s">
        <v>22</v>
      </c>
    </row>
    <row r="1299" spans="1:11" ht="42" customHeight="1">
      <c r="A1299" s="4" t="s">
        <v>3378</v>
      </c>
      <c r="B1299" s="5" t="s">
        <v>3379</v>
      </c>
      <c r="C1299" s="5" t="s">
        <v>198</v>
      </c>
      <c r="D1299" s="5" t="s">
        <v>66</v>
      </c>
      <c r="E1299" s="5" t="s">
        <v>191</v>
      </c>
      <c r="F1299" s="9">
        <v>101</v>
      </c>
      <c r="G1299" s="9">
        <v>1130</v>
      </c>
      <c r="H1299" s="5" t="s">
        <v>20</v>
      </c>
      <c r="I1299" s="5" t="s">
        <v>3380</v>
      </c>
      <c r="J1299" s="12" t="str">
        <f>HYPERLINK("https://www.boe.es/gazeta/dias/1804/12/18/pdfs/GMD-1804-101.pdf#page=10","Abrir facsímil")</f>
        <v>Abrir facsímil</v>
      </c>
      <c r="K1299" s="15" t="s">
        <v>22</v>
      </c>
    </row>
    <row r="1300" spans="1:11" ht="42" customHeight="1">
      <c r="A1300" s="4" t="s">
        <v>3381</v>
      </c>
      <c r="B1300" s="5" t="s">
        <v>3382</v>
      </c>
      <c r="C1300" s="5" t="s">
        <v>85</v>
      </c>
      <c r="D1300" s="5" t="s">
        <v>86</v>
      </c>
      <c r="E1300" s="5" t="s">
        <v>37</v>
      </c>
      <c r="F1300" s="9">
        <v>29</v>
      </c>
      <c r="G1300" s="9">
        <v>322</v>
      </c>
      <c r="H1300" s="5" t="s">
        <v>20</v>
      </c>
      <c r="I1300" s="5" t="s">
        <v>3383</v>
      </c>
      <c r="J1300" s="12" t="str">
        <f>HYPERLINK("https://www.boe.es/gazeta/dias/1804/04/10/pdfs/GMD-1804-29.pdf#page=12","Abrir facsímil")</f>
        <v>Abrir facsímil</v>
      </c>
      <c r="K1300" s="15" t="s">
        <v>22</v>
      </c>
    </row>
    <row r="1301" spans="1:11" ht="42" customHeight="1">
      <c r="A1301" s="4" t="s">
        <v>3384</v>
      </c>
      <c r="B1301" s="5" t="s">
        <v>3385</v>
      </c>
      <c r="C1301" s="5" t="s">
        <v>27</v>
      </c>
      <c r="D1301" s="5" t="s">
        <v>28</v>
      </c>
      <c r="E1301" s="5" t="s">
        <v>37</v>
      </c>
      <c r="F1301" s="9">
        <v>29</v>
      </c>
      <c r="G1301" s="9">
        <v>319</v>
      </c>
      <c r="H1301" s="5" t="s">
        <v>20</v>
      </c>
      <c r="I1301" s="5" t="s">
        <v>3386</v>
      </c>
      <c r="J1301" s="12" t="str">
        <f>HYPERLINK("https://www.boe.es/gazeta/dias/1804/04/10/pdfs/GMD-1804-29.pdf#page=9","Abrir facsímil")</f>
        <v>Abrir facsímil</v>
      </c>
      <c r="K1301" s="15" t="s">
        <v>22</v>
      </c>
    </row>
    <row r="1302" spans="1:11" ht="42" customHeight="1">
      <c r="A1302" s="4" t="s">
        <v>3387</v>
      </c>
      <c r="B1302" s="5" t="s">
        <v>3388</v>
      </c>
      <c r="C1302" s="5" t="s">
        <v>65</v>
      </c>
      <c r="D1302" s="5" t="s">
        <v>66</v>
      </c>
      <c r="E1302" s="5" t="s">
        <v>97</v>
      </c>
      <c r="F1302" s="9">
        <v>50</v>
      </c>
      <c r="G1302" s="9">
        <v>552</v>
      </c>
      <c r="H1302" s="5" t="s">
        <v>20</v>
      </c>
      <c r="I1302" s="5" t="s">
        <v>3389</v>
      </c>
      <c r="J1302" s="12" t="str">
        <f>HYPERLINK("https://www.boe.es/gazeta/dias/1804/06/22/pdfs/GMD-1804-50.pdf#page=6","Abrir facsímil")</f>
        <v>Abrir facsímil</v>
      </c>
      <c r="K1302" s="15" t="s">
        <v>22</v>
      </c>
    </row>
    <row r="1303" spans="1:11" ht="42" customHeight="1">
      <c r="A1303" s="4" t="s">
        <v>3387</v>
      </c>
      <c r="B1303" s="5" t="s">
        <v>3388</v>
      </c>
      <c r="C1303" s="5" t="s">
        <v>27</v>
      </c>
      <c r="D1303" s="5" t="s">
        <v>28</v>
      </c>
      <c r="E1303" s="5" t="s">
        <v>29</v>
      </c>
      <c r="F1303" s="9">
        <v>88</v>
      </c>
      <c r="G1303" s="9">
        <v>976</v>
      </c>
      <c r="H1303" s="5" t="s">
        <v>20</v>
      </c>
      <c r="I1303" s="5" t="s">
        <v>3390</v>
      </c>
      <c r="J1303" s="12" t="str">
        <f>HYPERLINK("https://www.boe.es/gazeta/dias/1804/11/02/pdfs/GMD-1804-88.pdf#page=8","Abrir facsímil")</f>
        <v>Abrir facsímil</v>
      </c>
      <c r="K1303" s="15" t="s">
        <v>22</v>
      </c>
    </row>
    <row r="1304" spans="1:11" ht="42" customHeight="1">
      <c r="A1304" s="4" t="s">
        <v>3391</v>
      </c>
      <c r="B1304" s="5" t="s">
        <v>3392</v>
      </c>
      <c r="C1304" s="5" t="s">
        <v>17</v>
      </c>
      <c r="D1304" s="5" t="s">
        <v>18</v>
      </c>
      <c r="E1304" s="5" t="s">
        <v>547</v>
      </c>
      <c r="F1304" s="9">
        <v>68</v>
      </c>
      <c r="G1304" s="9">
        <v>765</v>
      </c>
      <c r="H1304" s="5" t="s">
        <v>20</v>
      </c>
      <c r="I1304" s="5" t="s">
        <v>3393</v>
      </c>
      <c r="J1304" s="12" t="str">
        <f>HYPERLINK("https://www.boe.es/gazeta/dias/1804/08/24/pdfs/GMD-1804-68.pdf#page=11","Abrir facsímil")</f>
        <v>Abrir facsímil</v>
      </c>
      <c r="K1304" s="15" t="s">
        <v>22</v>
      </c>
    </row>
    <row r="1305" spans="1:11" ht="42" customHeight="1">
      <c r="A1305" s="4" t="s">
        <v>3394</v>
      </c>
      <c r="B1305" s="5" t="s">
        <v>3395</v>
      </c>
      <c r="C1305" s="5" t="s">
        <v>27</v>
      </c>
      <c r="D1305" s="5" t="s">
        <v>28</v>
      </c>
      <c r="E1305" s="5" t="s">
        <v>308</v>
      </c>
      <c r="F1305" s="9">
        <v>96</v>
      </c>
      <c r="G1305" s="9">
        <v>1067</v>
      </c>
      <c r="H1305" s="5" t="s">
        <v>20</v>
      </c>
      <c r="I1305" s="5" t="s">
        <v>3396</v>
      </c>
      <c r="J1305" s="12" t="str">
        <f>HYPERLINK("https://www.boe.es/gazeta/dias/1804/11/30/pdfs/GMD-1804-96.pdf#page=7","Abrir facsímil")</f>
        <v>Abrir facsímil</v>
      </c>
      <c r="K1305" s="15" t="s">
        <v>22</v>
      </c>
    </row>
    <row r="1306" spans="1:11" ht="42" customHeight="1">
      <c r="A1306" s="4" t="s">
        <v>3397</v>
      </c>
      <c r="B1306" s="5" t="s">
        <v>3398</v>
      </c>
      <c r="C1306" s="5" t="s">
        <v>27</v>
      </c>
      <c r="D1306" s="5" t="s">
        <v>28</v>
      </c>
      <c r="E1306" s="5" t="s">
        <v>388</v>
      </c>
      <c r="F1306" s="9">
        <v>18</v>
      </c>
      <c r="G1306" s="9">
        <v>198</v>
      </c>
      <c r="H1306" s="5" t="s">
        <v>20</v>
      </c>
      <c r="I1306" s="5" t="s">
        <v>3399</v>
      </c>
      <c r="J1306" s="12" t="str">
        <f>HYPERLINK("https://www.boe.es/gazeta/dias/1804/03/02/pdfs/GMD-1804-18.pdf#page=10","Abrir facsímil")</f>
        <v>Abrir facsímil</v>
      </c>
      <c r="K1306" s="15" t="s">
        <v>22</v>
      </c>
    </row>
    <row r="1307" spans="1:11" ht="42" customHeight="1">
      <c r="A1307" s="4" t="s">
        <v>3400</v>
      </c>
      <c r="B1307" s="5" t="s">
        <v>3401</v>
      </c>
      <c r="C1307" s="5" t="s">
        <v>27</v>
      </c>
      <c r="D1307" s="5" t="s">
        <v>28</v>
      </c>
      <c r="E1307" s="5" t="s">
        <v>637</v>
      </c>
      <c r="F1307" s="9">
        <v>74</v>
      </c>
      <c r="G1307" s="9">
        <v>831</v>
      </c>
      <c r="H1307" s="5" t="s">
        <v>20</v>
      </c>
      <c r="I1307" s="5" t="s">
        <v>3402</v>
      </c>
      <c r="J1307" s="12" t="str">
        <f>HYPERLINK("https://www.boe.es/gazeta/dias/1804/09/14/pdfs/GMD-1804-74.pdf#page=9","Abrir facsímil")</f>
        <v>Abrir facsímil</v>
      </c>
      <c r="K1307" s="15" t="s">
        <v>22</v>
      </c>
    </row>
    <row r="1308" spans="1:11" ht="42" customHeight="1">
      <c r="A1308" s="4" t="s">
        <v>3403</v>
      </c>
      <c r="B1308" s="5" t="s">
        <v>3404</v>
      </c>
      <c r="C1308" s="5" t="s">
        <v>85</v>
      </c>
      <c r="D1308" s="5" t="s">
        <v>86</v>
      </c>
      <c r="E1308" s="5" t="s">
        <v>388</v>
      </c>
      <c r="F1308" s="9">
        <v>18</v>
      </c>
      <c r="G1308" s="9">
        <v>200</v>
      </c>
      <c r="H1308" s="5" t="s">
        <v>20</v>
      </c>
      <c r="I1308" s="5" t="s">
        <v>3405</v>
      </c>
      <c r="J1308" s="12" t="str">
        <f>HYPERLINK("https://www.boe.es/gazeta/dias/1804/03/02/pdfs/GMD-1804-18.pdf#page=12","Abrir facsímil")</f>
        <v>Abrir facsímil</v>
      </c>
      <c r="K1308" s="15" t="s">
        <v>22</v>
      </c>
    </row>
    <row r="1309" spans="1:11" ht="42" customHeight="1">
      <c r="A1309" s="4" t="s">
        <v>3403</v>
      </c>
      <c r="B1309" s="5" t="s">
        <v>3404</v>
      </c>
      <c r="C1309" s="5" t="s">
        <v>27</v>
      </c>
      <c r="D1309" s="5" t="s">
        <v>28</v>
      </c>
      <c r="E1309" s="5" t="s">
        <v>37</v>
      </c>
      <c r="F1309" s="9">
        <v>29</v>
      </c>
      <c r="G1309" s="9">
        <v>319</v>
      </c>
      <c r="H1309" s="5" t="s">
        <v>20</v>
      </c>
      <c r="I1309" s="5" t="s">
        <v>3406</v>
      </c>
      <c r="J1309" s="12" t="str">
        <f>HYPERLINK("https://www.boe.es/gazeta/dias/1804/04/10/pdfs/GMD-1804-29.pdf#page=9","Abrir facsímil")</f>
        <v>Abrir facsímil</v>
      </c>
      <c r="K1309" s="15" t="s">
        <v>22</v>
      </c>
    </row>
    <row r="1310" spans="1:11" ht="42" customHeight="1">
      <c r="A1310" s="4" t="s">
        <v>3403</v>
      </c>
      <c r="B1310" s="5" t="s">
        <v>3404</v>
      </c>
      <c r="C1310" s="5" t="s">
        <v>27</v>
      </c>
      <c r="D1310" s="5" t="s">
        <v>28</v>
      </c>
      <c r="E1310" s="5" t="s">
        <v>542</v>
      </c>
      <c r="F1310" s="9">
        <v>54</v>
      </c>
      <c r="G1310" s="9">
        <v>601</v>
      </c>
      <c r="H1310" s="5" t="s">
        <v>20</v>
      </c>
      <c r="I1310" s="5" t="s">
        <v>3407</v>
      </c>
      <c r="J1310" s="12" t="str">
        <f>HYPERLINK("https://www.boe.es/gazeta/dias/1804/07/06/pdfs/GMD-1804-54.pdf#page=7","Abrir facsímil")</f>
        <v>Abrir facsímil</v>
      </c>
      <c r="K1310" s="15" t="s">
        <v>22</v>
      </c>
    </row>
    <row r="1311" spans="1:11" ht="42" customHeight="1">
      <c r="A1311" s="4" t="s">
        <v>3403</v>
      </c>
      <c r="B1311" s="5" t="s">
        <v>3404</v>
      </c>
      <c r="C1311" s="5" t="s">
        <v>27</v>
      </c>
      <c r="D1311" s="5" t="s">
        <v>28</v>
      </c>
      <c r="E1311" s="5" t="s">
        <v>54</v>
      </c>
      <c r="F1311" s="9">
        <v>63</v>
      </c>
      <c r="G1311" s="9">
        <v>700</v>
      </c>
      <c r="H1311" s="5" t="s">
        <v>20</v>
      </c>
      <c r="I1311" s="5" t="s">
        <v>3408</v>
      </c>
      <c r="J1311" s="12" t="str">
        <f>HYPERLINK("https://www.boe.es/gazeta/dias/1804/08/07/pdfs/GMD-1804-63.pdf#page=10","Abrir facsímil")</f>
        <v>Abrir facsímil</v>
      </c>
      <c r="K1311" s="15" t="s">
        <v>22</v>
      </c>
    </row>
    <row r="1312" spans="1:11" ht="42" customHeight="1">
      <c r="A1312" s="4" t="s">
        <v>3409</v>
      </c>
      <c r="B1312" s="5" t="s">
        <v>3410</v>
      </c>
      <c r="C1312" s="5" t="s">
        <v>85</v>
      </c>
      <c r="D1312" s="5" t="s">
        <v>86</v>
      </c>
      <c r="E1312" s="5" t="s">
        <v>87</v>
      </c>
      <c r="F1312" s="9">
        <v>9</v>
      </c>
      <c r="G1312" s="9">
        <v>100</v>
      </c>
      <c r="H1312" s="5" t="s">
        <v>20</v>
      </c>
      <c r="I1312" s="5" t="s">
        <v>3411</v>
      </c>
      <c r="J1312" s="12" t="str">
        <f>HYPERLINK("https://www.boe.es/gazeta/dias/1804/01/31/pdfs/GMD-1804-9.pdf#page=12","Abrir facsímil")</f>
        <v>Abrir facsímil</v>
      </c>
      <c r="K1312" s="15" t="s">
        <v>22</v>
      </c>
    </row>
    <row r="1313" spans="1:11" ht="42" customHeight="1">
      <c r="A1313" s="4" t="s">
        <v>3412</v>
      </c>
      <c r="B1313" s="5" t="s">
        <v>3413</v>
      </c>
      <c r="C1313" s="5" t="s">
        <v>27</v>
      </c>
      <c r="D1313" s="5" t="s">
        <v>28</v>
      </c>
      <c r="E1313" s="5" t="s">
        <v>332</v>
      </c>
      <c r="F1313" s="9">
        <v>66</v>
      </c>
      <c r="G1313" s="9">
        <v>740</v>
      </c>
      <c r="H1313" s="5" t="s">
        <v>20</v>
      </c>
      <c r="I1313" s="5" t="s">
        <v>3414</v>
      </c>
      <c r="J1313" s="12" t="str">
        <f>HYPERLINK("https://www.boe.es/gazeta/dias/1804/08/17/pdfs/GMD-1804-66.pdf#page=6","Abrir facsímil")</f>
        <v>Abrir facsímil</v>
      </c>
      <c r="K1313" s="15" t="s">
        <v>22</v>
      </c>
    </row>
    <row r="1314" spans="1:11" ht="42" customHeight="1">
      <c r="A1314" s="4" t="s">
        <v>3415</v>
      </c>
      <c r="B1314" s="5" t="s">
        <v>3416</v>
      </c>
      <c r="C1314" s="5" t="s">
        <v>17</v>
      </c>
      <c r="D1314" s="5" t="s">
        <v>18</v>
      </c>
      <c r="E1314" s="5" t="s">
        <v>526</v>
      </c>
      <c r="F1314" s="9">
        <v>95</v>
      </c>
      <c r="G1314" s="9">
        <v>1057</v>
      </c>
      <c r="H1314" s="5" t="s">
        <v>20</v>
      </c>
      <c r="I1314" s="5" t="s">
        <v>3417</v>
      </c>
      <c r="J1314" s="12" t="str">
        <f>HYPERLINK("https://www.boe.es/gazeta/dias/1804/11/27/pdfs/GMD-1804-95.pdf#page=9","Abrir facsímil")</f>
        <v>Abrir facsímil</v>
      </c>
      <c r="K1314" s="15" t="s">
        <v>22</v>
      </c>
    </row>
    <row r="1315" spans="1:11" ht="42" customHeight="1">
      <c r="A1315" s="4" t="s">
        <v>3418</v>
      </c>
      <c r="B1315" s="5" t="s">
        <v>3419</v>
      </c>
      <c r="C1315" s="5" t="s">
        <v>17</v>
      </c>
      <c r="D1315" s="5" t="s">
        <v>18</v>
      </c>
      <c r="E1315" s="5" t="s">
        <v>91</v>
      </c>
      <c r="F1315" s="9">
        <v>72</v>
      </c>
      <c r="G1315" s="9">
        <v>809</v>
      </c>
      <c r="H1315" s="5" t="s">
        <v>20</v>
      </c>
      <c r="I1315" s="5" t="s">
        <v>3420</v>
      </c>
      <c r="J1315" s="12" t="str">
        <f>HYPERLINK("https://www.boe.es/gazeta/dias/1804/09/07/pdfs/GMD-1804-72.pdf#page=11","Abrir facsímil")</f>
        <v>Abrir facsímil</v>
      </c>
      <c r="K1315" s="15" t="s">
        <v>22</v>
      </c>
    </row>
    <row r="1316" spans="1:11" ht="42" customHeight="1">
      <c r="A1316" s="4" t="s">
        <v>3421</v>
      </c>
      <c r="B1316" s="5" t="s">
        <v>3422</v>
      </c>
      <c r="C1316" s="5" t="s">
        <v>57</v>
      </c>
      <c r="D1316" s="5" t="s">
        <v>58</v>
      </c>
      <c r="E1316" s="5" t="s">
        <v>427</v>
      </c>
      <c r="F1316" s="9">
        <v>80</v>
      </c>
      <c r="G1316" s="9">
        <v>884</v>
      </c>
      <c r="H1316" s="5" t="s">
        <v>20</v>
      </c>
      <c r="I1316" s="5" t="s">
        <v>3423</v>
      </c>
      <c r="J1316" s="12" t="str">
        <f>HYPERLINK("https://www.boe.es/gazeta/dias/1804/10/05/pdfs/GMD-1804-80.pdf#page=2","Abrir facsímil")</f>
        <v>Abrir facsímil</v>
      </c>
      <c r="K1316" s="15" t="s">
        <v>22</v>
      </c>
    </row>
    <row r="1317" spans="1:11" ht="42" customHeight="1">
      <c r="A1317" s="4" t="s">
        <v>3424</v>
      </c>
      <c r="B1317" s="5" t="s">
        <v>3425</v>
      </c>
      <c r="C1317" s="5" t="s">
        <v>57</v>
      </c>
      <c r="D1317" s="5" t="s">
        <v>58</v>
      </c>
      <c r="E1317" s="5" t="s">
        <v>526</v>
      </c>
      <c r="F1317" s="9">
        <v>95</v>
      </c>
      <c r="G1317" s="9">
        <v>1053</v>
      </c>
      <c r="H1317" s="5" t="s">
        <v>20</v>
      </c>
      <c r="I1317" s="5" t="s">
        <v>3426</v>
      </c>
      <c r="J1317" s="12" t="str">
        <f>HYPERLINK("https://www.boe.es/gazeta/dias/1804/11/27/pdfs/GMD-1804-95.pdf#page=5","Abrir facsímil")</f>
        <v>Abrir facsímil</v>
      </c>
      <c r="K1317" s="15" t="s">
        <v>22</v>
      </c>
    </row>
    <row r="1318" spans="1:11" ht="42" customHeight="1">
      <c r="A1318" s="4" t="s">
        <v>3427</v>
      </c>
      <c r="B1318" s="5" t="s">
        <v>3428</v>
      </c>
      <c r="C1318" s="5" t="s">
        <v>65</v>
      </c>
      <c r="D1318" s="5" t="s">
        <v>66</v>
      </c>
      <c r="E1318" s="5" t="s">
        <v>258</v>
      </c>
      <c r="F1318" s="9">
        <v>14</v>
      </c>
      <c r="G1318" s="9">
        <v>154</v>
      </c>
      <c r="H1318" s="5" t="s">
        <v>20</v>
      </c>
      <c r="I1318" s="5" t="s">
        <v>3429</v>
      </c>
      <c r="J1318" s="12" t="str">
        <f>HYPERLINK("https://www.boe.es/gazeta/dias/1804/02/17/pdfs/GMD-1804-14.pdf#page=10","Abrir facsímil")</f>
        <v>Abrir facsímil</v>
      </c>
      <c r="K1318" s="15" t="s">
        <v>22</v>
      </c>
    </row>
    <row r="1319" spans="1:11" ht="42" customHeight="1">
      <c r="A1319" s="4" t="s">
        <v>3430</v>
      </c>
      <c r="B1319" s="5" t="s">
        <v>3431</v>
      </c>
      <c r="C1319" s="5" t="s">
        <v>85</v>
      </c>
      <c r="D1319" s="5" t="s">
        <v>86</v>
      </c>
      <c r="E1319" s="5" t="s">
        <v>800</v>
      </c>
      <c r="F1319" s="9">
        <v>45</v>
      </c>
      <c r="G1319" s="9">
        <v>501</v>
      </c>
      <c r="H1319" s="5" t="s">
        <v>20</v>
      </c>
      <c r="I1319" s="5" t="s">
        <v>3432</v>
      </c>
      <c r="J1319" s="12" t="str">
        <f>HYPERLINK("https://www.boe.es/gazeta/dias/1804/06/05/pdfs/GMD-1804-45.pdf#page=11","Abrir facsímil")</f>
        <v>Abrir facsímil</v>
      </c>
      <c r="K1319" s="15" t="s">
        <v>22</v>
      </c>
    </row>
    <row r="1320" spans="1:11" ht="42" customHeight="1">
      <c r="A1320" s="4" t="s">
        <v>3433</v>
      </c>
      <c r="B1320" s="5" t="s">
        <v>3434</v>
      </c>
      <c r="C1320" s="5" t="s">
        <v>17</v>
      </c>
      <c r="D1320" s="5" t="s">
        <v>18</v>
      </c>
      <c r="E1320" s="5" t="s">
        <v>1095</v>
      </c>
      <c r="F1320" s="9">
        <v>73</v>
      </c>
      <c r="G1320" s="9">
        <v>822</v>
      </c>
      <c r="H1320" s="5" t="s">
        <v>20</v>
      </c>
      <c r="I1320" s="5" t="s">
        <v>3435</v>
      </c>
      <c r="J1320" s="12" t="str">
        <f>HYPERLINK("https://www.boe.es/gazeta/dias/1804/09/11/pdfs/GMD-1804-73.pdf#page=12","Abrir facsímil")</f>
        <v>Abrir facsímil</v>
      </c>
      <c r="K1320" s="15" t="s">
        <v>22</v>
      </c>
    </row>
    <row r="1321" spans="1:11" ht="42" customHeight="1">
      <c r="A1321" s="4" t="s">
        <v>3436</v>
      </c>
      <c r="B1321" s="5" t="s">
        <v>3437</v>
      </c>
      <c r="C1321" s="5" t="s">
        <v>57</v>
      </c>
      <c r="D1321" s="5" t="s">
        <v>58</v>
      </c>
      <c r="E1321" s="5" t="s">
        <v>241</v>
      </c>
      <c r="F1321" s="9">
        <v>71</v>
      </c>
      <c r="G1321" s="9">
        <v>788</v>
      </c>
      <c r="H1321" s="5" t="s">
        <v>20</v>
      </c>
      <c r="I1321" s="5" t="s">
        <v>3438</v>
      </c>
      <c r="J1321" s="12" t="str">
        <f>HYPERLINK("https://www.boe.es/gazeta/dias/1804/09/04/pdfs/GMD-1804-71.pdf#page=2","Abrir facsímil")</f>
        <v>Abrir facsímil</v>
      </c>
      <c r="K1321" s="15" t="s">
        <v>22</v>
      </c>
    </row>
    <row r="1322" spans="1:11" ht="42" customHeight="1">
      <c r="A1322" s="4" t="s">
        <v>3439</v>
      </c>
      <c r="B1322" s="5" t="s">
        <v>3440</v>
      </c>
      <c r="C1322" s="5" t="s">
        <v>65</v>
      </c>
      <c r="D1322" s="5" t="s">
        <v>66</v>
      </c>
      <c r="E1322" s="5" t="s">
        <v>490</v>
      </c>
      <c r="F1322" s="9">
        <v>100</v>
      </c>
      <c r="G1322" s="9">
        <v>1120</v>
      </c>
      <c r="H1322" s="5" t="s">
        <v>20</v>
      </c>
      <c r="I1322" s="5" t="s">
        <v>3441</v>
      </c>
      <c r="J1322" s="12" t="str">
        <f>HYPERLINK("https://www.boe.es/gazeta/dias/1804/12/14/pdfs/GMD-1804-100.pdf#page=12","Abrir facsímil")</f>
        <v>Abrir facsímil</v>
      </c>
      <c r="K1322" s="15" t="s">
        <v>22</v>
      </c>
    </row>
    <row r="1323" spans="1:11" ht="42" customHeight="1">
      <c r="A1323" s="4" t="s">
        <v>3442</v>
      </c>
      <c r="B1323" s="5" t="s">
        <v>3443</v>
      </c>
      <c r="C1323" s="5" t="s">
        <v>27</v>
      </c>
      <c r="D1323" s="5" t="s">
        <v>28</v>
      </c>
      <c r="E1323" s="5" t="s">
        <v>670</v>
      </c>
      <c r="F1323" s="9">
        <v>41</v>
      </c>
      <c r="G1323" s="9">
        <v>458</v>
      </c>
      <c r="H1323" s="5" t="s">
        <v>20</v>
      </c>
      <c r="I1323" s="5" t="s">
        <v>3444</v>
      </c>
      <c r="J1323" s="12" t="str">
        <f>HYPERLINK("https://www.boe.es/gazeta/dias/1804/05/22/pdfs/GMD-1804-41.pdf#page=8","Abrir facsímil")</f>
        <v>Abrir facsímil</v>
      </c>
      <c r="K1323" s="15" t="s">
        <v>22</v>
      </c>
    </row>
    <row r="1324" spans="1:11" ht="42" customHeight="1">
      <c r="A1324" s="4" t="s">
        <v>3445</v>
      </c>
      <c r="B1324" s="5" t="s">
        <v>3446</v>
      </c>
      <c r="C1324" s="5" t="s">
        <v>17</v>
      </c>
      <c r="D1324" s="5" t="s">
        <v>18</v>
      </c>
      <c r="E1324" s="5" t="s">
        <v>339</v>
      </c>
      <c r="F1324" s="9">
        <v>94</v>
      </c>
      <c r="G1324" s="9">
        <v>1040</v>
      </c>
      <c r="H1324" s="5" t="s">
        <v>20</v>
      </c>
      <c r="I1324" s="5" t="s">
        <v>3447</v>
      </c>
      <c r="J1324" s="12" t="str">
        <f>HYPERLINK("https://www.boe.es/gazeta/dias/1804/11/23/pdfs/GMD-1804-94.pdf#page=8","Abrir facsímil")</f>
        <v>Abrir facsímil</v>
      </c>
      <c r="K1324" s="15" t="s">
        <v>22</v>
      </c>
    </row>
    <row r="1325" spans="1:11" ht="42" customHeight="1">
      <c r="A1325" s="4" t="s">
        <v>3448</v>
      </c>
      <c r="B1325" s="5" t="s">
        <v>3449</v>
      </c>
      <c r="C1325" s="5" t="s">
        <v>27</v>
      </c>
      <c r="D1325" s="5" t="s">
        <v>28</v>
      </c>
      <c r="E1325" s="5" t="s">
        <v>587</v>
      </c>
      <c r="F1325" s="9">
        <v>62</v>
      </c>
      <c r="G1325" s="9">
        <v>681</v>
      </c>
      <c r="H1325" s="5" t="s">
        <v>20</v>
      </c>
      <c r="I1325" s="5" t="s">
        <v>3450</v>
      </c>
      <c r="J1325" s="12" t="str">
        <f>HYPERLINK("https://www.boe.es/gazeta/dias/1804/08/03/pdfs/GMD-1804-62.pdf#page=3","Abrir facsímil")</f>
        <v>Abrir facsímil</v>
      </c>
      <c r="K1325" s="15" t="s">
        <v>22</v>
      </c>
    </row>
    <row r="1326" spans="1:11" ht="42" customHeight="1">
      <c r="A1326" s="4" t="s">
        <v>3451</v>
      </c>
      <c r="B1326" s="5" t="s">
        <v>3452</v>
      </c>
      <c r="C1326" s="5" t="s">
        <v>27</v>
      </c>
      <c r="D1326" s="5" t="s">
        <v>28</v>
      </c>
      <c r="E1326" s="5" t="s">
        <v>709</v>
      </c>
      <c r="F1326" s="9">
        <v>82</v>
      </c>
      <c r="G1326" s="9">
        <v>902</v>
      </c>
      <c r="H1326" s="5" t="s">
        <v>20</v>
      </c>
      <c r="I1326" s="5" t="s">
        <v>3453</v>
      </c>
      <c r="J1326" s="12" t="str">
        <f>HYPERLINK("https://www.boe.es/gazeta/dias/1804/10/12/pdfs/GMD-1804-82.pdf#page=4","Abrir facsímil")</f>
        <v>Abrir facsímil</v>
      </c>
      <c r="K1326" s="15" t="s">
        <v>22</v>
      </c>
    </row>
    <row r="1327" spans="1:11" ht="42" customHeight="1">
      <c r="A1327" s="4" t="s">
        <v>3454</v>
      </c>
      <c r="B1327" s="5" t="s">
        <v>3455</v>
      </c>
      <c r="C1327" s="5" t="s">
        <v>198</v>
      </c>
      <c r="D1327" s="5" t="s">
        <v>66</v>
      </c>
      <c r="E1327" s="5" t="s">
        <v>97</v>
      </c>
      <c r="F1327" s="9">
        <v>50</v>
      </c>
      <c r="G1327" s="9">
        <v>554</v>
      </c>
      <c r="H1327" s="5" t="s">
        <v>20</v>
      </c>
      <c r="I1327" s="5" t="s">
        <v>3456</v>
      </c>
      <c r="J1327" s="12" t="str">
        <f>HYPERLINK("https://www.boe.es/gazeta/dias/1804/06/22/pdfs/GMD-1804-50.pdf#page=8","Abrir facsímil")</f>
        <v>Abrir facsímil</v>
      </c>
      <c r="K1327" s="15" t="s">
        <v>22</v>
      </c>
    </row>
    <row r="1328" spans="1:11" ht="42" customHeight="1">
      <c r="A1328" s="4" t="s">
        <v>3457</v>
      </c>
      <c r="B1328" s="5" t="s">
        <v>3458</v>
      </c>
      <c r="C1328" s="5" t="s">
        <v>27</v>
      </c>
      <c r="D1328" s="5" t="s">
        <v>28</v>
      </c>
      <c r="E1328" s="5" t="s">
        <v>216</v>
      </c>
      <c r="F1328" s="9">
        <v>67</v>
      </c>
      <c r="G1328" s="9">
        <v>752</v>
      </c>
      <c r="H1328" s="5" t="s">
        <v>20</v>
      </c>
      <c r="I1328" s="5" t="s">
        <v>3459</v>
      </c>
      <c r="J1328" s="12" t="str">
        <f>HYPERLINK("https://www.boe.es/gazeta/dias/1804/08/21/pdfs/GMD-1804-67.pdf#page=10","Abrir facsímil")</f>
        <v>Abrir facsímil</v>
      </c>
      <c r="K1328" s="15" t="s">
        <v>22</v>
      </c>
    </row>
    <row r="1329" spans="1:11" ht="42" customHeight="1">
      <c r="A1329" s="4" t="s">
        <v>3457</v>
      </c>
      <c r="B1329" s="5" t="s">
        <v>3458</v>
      </c>
      <c r="C1329" s="5" t="s">
        <v>85</v>
      </c>
      <c r="D1329" s="5" t="s">
        <v>86</v>
      </c>
      <c r="E1329" s="5" t="s">
        <v>326</v>
      </c>
      <c r="F1329" s="9">
        <v>69</v>
      </c>
      <c r="G1329" s="9">
        <v>776</v>
      </c>
      <c r="H1329" s="5" t="s">
        <v>20</v>
      </c>
      <c r="I1329" s="5" t="s">
        <v>3460</v>
      </c>
      <c r="J1329" s="12" t="str">
        <f>HYPERLINK("https://www.boe.es/gazeta/dias/1804/08/28/pdfs/GMD-1804-69.pdf#page=10","Abrir facsímil")</f>
        <v>Abrir facsímil</v>
      </c>
      <c r="K1329" s="15" t="s">
        <v>22</v>
      </c>
    </row>
    <row r="1330" spans="1:11" ht="42" customHeight="1">
      <c r="A1330" s="4" t="s">
        <v>3457</v>
      </c>
      <c r="B1330" s="5" t="s">
        <v>3458</v>
      </c>
      <c r="C1330" s="5" t="s">
        <v>198</v>
      </c>
      <c r="D1330" s="5" t="s">
        <v>66</v>
      </c>
      <c r="E1330" s="5" t="s">
        <v>1095</v>
      </c>
      <c r="F1330" s="9">
        <v>73</v>
      </c>
      <c r="G1330" s="9">
        <v>821</v>
      </c>
      <c r="H1330" s="5" t="s">
        <v>20</v>
      </c>
      <c r="I1330" s="5" t="s">
        <v>3461</v>
      </c>
      <c r="J1330" s="12" t="str">
        <f>HYPERLINK("https://www.boe.es/gazeta/dias/1804/09/11/pdfs/GMD-1804-73.pdf#page=11","Abrir facsímil")</f>
        <v>Abrir facsímil</v>
      </c>
      <c r="K1330" s="15" t="s">
        <v>22</v>
      </c>
    </row>
    <row r="1331" spans="1:11" ht="42" customHeight="1">
      <c r="A1331" s="4" t="s">
        <v>3457</v>
      </c>
      <c r="B1331" s="5" t="s">
        <v>3458</v>
      </c>
      <c r="C1331" s="5" t="s">
        <v>85</v>
      </c>
      <c r="D1331" s="5" t="s">
        <v>86</v>
      </c>
      <c r="E1331" s="5" t="s">
        <v>208</v>
      </c>
      <c r="F1331" s="9">
        <v>97</v>
      </c>
      <c r="G1331" s="9">
        <v>1084</v>
      </c>
      <c r="H1331" s="5" t="s">
        <v>20</v>
      </c>
      <c r="I1331" s="5" t="s">
        <v>3462</v>
      </c>
      <c r="J1331" s="12" t="str">
        <f>HYPERLINK("https://www.boe.es/gazeta/dias/1804/12/04/pdfs/GMD-1804-97.pdf#page=12","Abrir facsímil")</f>
        <v>Abrir facsímil</v>
      </c>
      <c r="K1331" s="15" t="s">
        <v>22</v>
      </c>
    </row>
    <row r="1332" spans="1:11" ht="42" customHeight="1">
      <c r="A1332" s="4" t="s">
        <v>3463</v>
      </c>
      <c r="B1332" s="5" t="s">
        <v>3464</v>
      </c>
      <c r="C1332" s="5" t="s">
        <v>27</v>
      </c>
      <c r="D1332" s="5" t="s">
        <v>28</v>
      </c>
      <c r="E1332" s="5" t="s">
        <v>484</v>
      </c>
      <c r="F1332" s="9">
        <v>53</v>
      </c>
      <c r="G1332" s="9">
        <v>591</v>
      </c>
      <c r="H1332" s="5" t="s">
        <v>20</v>
      </c>
      <c r="I1332" s="5" t="s">
        <v>3465</v>
      </c>
      <c r="J1332" s="12" t="str">
        <f>HYPERLINK("https://www.boe.es/gazeta/dias/1804/07/03/pdfs/GMD-1804-53.pdf#page=9","Abrir facsímil")</f>
        <v>Abrir facsímil</v>
      </c>
      <c r="K1332" s="15" t="s">
        <v>22</v>
      </c>
    </row>
    <row r="1333" spans="1:11" ht="42" customHeight="1">
      <c r="A1333" s="4" t="s">
        <v>3466</v>
      </c>
      <c r="B1333" s="5" t="s">
        <v>3467</v>
      </c>
      <c r="C1333" s="5" t="s">
        <v>65</v>
      </c>
      <c r="D1333" s="5" t="s">
        <v>66</v>
      </c>
      <c r="E1333" s="5" t="s">
        <v>421</v>
      </c>
      <c r="F1333" s="9">
        <v>47</v>
      </c>
      <c r="G1333" s="9">
        <v>527</v>
      </c>
      <c r="H1333" s="5" t="s">
        <v>20</v>
      </c>
      <c r="I1333" s="5" t="s">
        <v>3468</v>
      </c>
      <c r="J1333" s="12" t="str">
        <f>HYPERLINK("https://www.boe.es/gazeta/dias/1804/06/12/pdfs/GMD-1804-47.pdf#page=9","Abrir facsímil")</f>
        <v>Abrir facsímil</v>
      </c>
      <c r="K1333" s="15" t="s">
        <v>22</v>
      </c>
    </row>
    <row r="1334" spans="1:11" ht="42" customHeight="1">
      <c r="A1334" s="4" t="s">
        <v>3469</v>
      </c>
      <c r="B1334" s="5" t="s">
        <v>3470</v>
      </c>
      <c r="C1334" s="5" t="s">
        <v>65</v>
      </c>
      <c r="D1334" s="5" t="s">
        <v>66</v>
      </c>
      <c r="E1334" s="5" t="s">
        <v>59</v>
      </c>
      <c r="F1334" s="9">
        <v>55</v>
      </c>
      <c r="G1334" s="9">
        <v>612</v>
      </c>
      <c r="H1334" s="5" t="s">
        <v>20</v>
      </c>
      <c r="I1334" s="5" t="s">
        <v>3471</v>
      </c>
      <c r="J1334" s="12" t="str">
        <f>HYPERLINK("https://www.boe.es/gazeta/dias/1804/07/10/pdfs/GMD-1804-55.pdf#page=10","Abrir facsímil")</f>
        <v>Abrir facsímil</v>
      </c>
      <c r="K1334" s="15" t="s">
        <v>22</v>
      </c>
    </row>
    <row r="1335" spans="1:11" ht="42" customHeight="1">
      <c r="A1335" s="4" t="s">
        <v>3472</v>
      </c>
      <c r="B1335" s="5" t="s">
        <v>3473</v>
      </c>
      <c r="C1335" s="5" t="s">
        <v>27</v>
      </c>
      <c r="D1335" s="5" t="s">
        <v>28</v>
      </c>
      <c r="E1335" s="5" t="s">
        <v>199</v>
      </c>
      <c r="F1335" s="9">
        <v>46</v>
      </c>
      <c r="G1335" s="9">
        <v>512</v>
      </c>
      <c r="H1335" s="5" t="s">
        <v>20</v>
      </c>
      <c r="I1335" s="5" t="s">
        <v>3474</v>
      </c>
      <c r="J1335" s="12" t="str">
        <f>HYPERLINK("https://www.boe.es/gazeta/dias/1804/06/08/pdfs/GMD-1804-46.pdf#page=10","Abrir facsímil")</f>
        <v>Abrir facsímil</v>
      </c>
      <c r="K1335" s="15" t="s">
        <v>22</v>
      </c>
    </row>
    <row r="1336" spans="1:11" ht="42" customHeight="1">
      <c r="A1336" s="4" t="s">
        <v>3475</v>
      </c>
      <c r="B1336" s="5" t="s">
        <v>3476</v>
      </c>
      <c r="C1336" s="5" t="s">
        <v>27</v>
      </c>
      <c r="D1336" s="5" t="s">
        <v>28</v>
      </c>
      <c r="E1336" s="5" t="s">
        <v>736</v>
      </c>
      <c r="F1336" s="9">
        <v>83</v>
      </c>
      <c r="G1336" s="9">
        <v>919</v>
      </c>
      <c r="H1336" s="5" t="s">
        <v>20</v>
      </c>
      <c r="I1336" s="5" t="s">
        <v>3477</v>
      </c>
      <c r="J1336" s="12" t="str">
        <f>HYPERLINK("https://www.boe.es/gazeta/dias/1804/10/16/pdfs/GMD-1804-83.pdf#page=9","Abrir facsímil")</f>
        <v>Abrir facsímil</v>
      </c>
      <c r="K1336" s="15" t="s">
        <v>22</v>
      </c>
    </row>
    <row r="1337" spans="1:11" ht="42" customHeight="1">
      <c r="A1337" s="4" t="s">
        <v>3478</v>
      </c>
      <c r="B1337" s="5" t="s">
        <v>3479</v>
      </c>
      <c r="C1337" s="5" t="s">
        <v>85</v>
      </c>
      <c r="D1337" s="5" t="s">
        <v>86</v>
      </c>
      <c r="E1337" s="5" t="s">
        <v>857</v>
      </c>
      <c r="F1337" s="9">
        <v>28</v>
      </c>
      <c r="G1337" s="9">
        <v>310</v>
      </c>
      <c r="H1337" s="5" t="s">
        <v>20</v>
      </c>
      <c r="I1337" s="5" t="s">
        <v>3480</v>
      </c>
      <c r="J1337" s="12" t="str">
        <f>HYPERLINK("https://www.boe.es/gazeta/dias/1804/04/06/pdfs/GMD-1804-28.pdf#page=8","Abrir facsímil")</f>
        <v>Abrir facsímil</v>
      </c>
      <c r="K1337" s="15" t="s">
        <v>22</v>
      </c>
    </row>
    <row r="1338" spans="1:11" ht="42" customHeight="1">
      <c r="A1338" s="4" t="s">
        <v>3481</v>
      </c>
      <c r="B1338" s="5" t="s">
        <v>3482</v>
      </c>
      <c r="C1338" s="5" t="s">
        <v>17</v>
      </c>
      <c r="D1338" s="5" t="s">
        <v>18</v>
      </c>
      <c r="E1338" s="5" t="s">
        <v>378</v>
      </c>
      <c r="F1338" s="9">
        <v>65</v>
      </c>
      <c r="G1338" s="9">
        <v>731</v>
      </c>
      <c r="H1338" s="5" t="s">
        <v>20</v>
      </c>
      <c r="I1338" s="5" t="s">
        <v>3483</v>
      </c>
      <c r="J1338" s="12" t="str">
        <f>HYPERLINK("https://www.boe.es/gazeta/dias/1804/08/14/pdfs/GMD-1804-65.pdf#page=9","Abrir facsímil")</f>
        <v>Abrir facsímil</v>
      </c>
      <c r="K1338" s="15" t="s">
        <v>22</v>
      </c>
    </row>
    <row r="1339" spans="1:11" ht="42" customHeight="1">
      <c r="A1339" s="4" t="s">
        <v>3484</v>
      </c>
      <c r="B1339" s="5" t="s">
        <v>3485</v>
      </c>
      <c r="C1339" s="5" t="s">
        <v>65</v>
      </c>
      <c r="D1339" s="5" t="s">
        <v>66</v>
      </c>
      <c r="E1339" s="5" t="s">
        <v>298</v>
      </c>
      <c r="F1339" s="9">
        <v>10</v>
      </c>
      <c r="G1339" s="9">
        <v>109</v>
      </c>
      <c r="H1339" s="5" t="s">
        <v>20</v>
      </c>
      <c r="I1339" s="5" t="s">
        <v>3486</v>
      </c>
      <c r="J1339" s="12" t="str">
        <f>HYPERLINK("https://www.boe.es/gazeta/dias/1804/02/03/pdfs/GMD-1804-10.pdf#page=9","Abrir facsímil")</f>
        <v>Abrir facsímil</v>
      </c>
      <c r="K1339" s="15" t="s">
        <v>22</v>
      </c>
    </row>
    <row r="1340" spans="1:11" ht="42" customHeight="1">
      <c r="A1340" s="4" t="s">
        <v>3487</v>
      </c>
      <c r="B1340" s="5" t="s">
        <v>3488</v>
      </c>
      <c r="C1340" s="5" t="s">
        <v>27</v>
      </c>
      <c r="D1340" s="5" t="s">
        <v>28</v>
      </c>
      <c r="E1340" s="5" t="s">
        <v>37</v>
      </c>
      <c r="F1340" s="9">
        <v>29</v>
      </c>
      <c r="G1340" s="9">
        <v>312</v>
      </c>
      <c r="H1340" s="5" t="s">
        <v>20</v>
      </c>
      <c r="I1340" s="5" t="s">
        <v>3489</v>
      </c>
      <c r="J1340" s="12" t="str">
        <f>HYPERLINK("https://www.boe.es/gazeta/dias/1804/04/10/pdfs/GMD-1804-29.pdf#page=2","Abrir facsímil")</f>
        <v>Abrir facsímil</v>
      </c>
      <c r="K1340" s="15" t="s">
        <v>22</v>
      </c>
    </row>
    <row r="1341" spans="1:11" ht="42" customHeight="1">
      <c r="A1341" s="4" t="s">
        <v>3490</v>
      </c>
      <c r="B1341" s="5" t="s">
        <v>3491</v>
      </c>
      <c r="C1341" s="5" t="s">
        <v>85</v>
      </c>
      <c r="D1341" s="5" t="s">
        <v>86</v>
      </c>
      <c r="E1341" s="5" t="s">
        <v>87</v>
      </c>
      <c r="F1341" s="9">
        <v>9</v>
      </c>
      <c r="G1341" s="9">
        <v>100</v>
      </c>
      <c r="H1341" s="5" t="s">
        <v>20</v>
      </c>
      <c r="I1341" s="5" t="s">
        <v>3492</v>
      </c>
      <c r="J1341" s="12" t="str">
        <f>HYPERLINK("https://www.boe.es/gazeta/dias/1804/01/31/pdfs/GMD-1804-9.pdf#page=12","Abrir facsímil")</f>
        <v>Abrir facsímil</v>
      </c>
      <c r="K1341" s="15" t="s">
        <v>22</v>
      </c>
    </row>
    <row r="1342" spans="1:11" ht="42" customHeight="1">
      <c r="A1342" s="4" t="s">
        <v>3493</v>
      </c>
      <c r="B1342" s="5" t="s">
        <v>3494</v>
      </c>
      <c r="C1342" s="5" t="s">
        <v>17</v>
      </c>
      <c r="D1342" s="5" t="s">
        <v>18</v>
      </c>
      <c r="E1342" s="5" t="s">
        <v>704</v>
      </c>
      <c r="F1342" s="9">
        <v>36</v>
      </c>
      <c r="G1342" s="9">
        <v>402</v>
      </c>
      <c r="H1342" s="5" t="s">
        <v>20</v>
      </c>
      <c r="I1342" s="5" t="s">
        <v>3495</v>
      </c>
      <c r="J1342" s="12" t="str">
        <f>HYPERLINK("https://www.boe.es/gazeta/dias/1804/05/04/pdfs/GMD-1804-36.pdf#page=12","Abrir facsímil")</f>
        <v>Abrir facsímil</v>
      </c>
      <c r="K1342" s="15" t="s">
        <v>22</v>
      </c>
    </row>
    <row r="1343" spans="1:11" ht="42" customHeight="1">
      <c r="A1343" s="4" t="s">
        <v>3496</v>
      </c>
      <c r="B1343" s="5" t="s">
        <v>3497</v>
      </c>
      <c r="C1343" s="5" t="s">
        <v>27</v>
      </c>
      <c r="D1343" s="5" t="s">
        <v>28</v>
      </c>
      <c r="E1343" s="5" t="s">
        <v>67</v>
      </c>
      <c r="F1343" s="9">
        <v>59</v>
      </c>
      <c r="G1343" s="9">
        <v>653</v>
      </c>
      <c r="H1343" s="5" t="s">
        <v>20</v>
      </c>
      <c r="I1343" s="5" t="s">
        <v>3498</v>
      </c>
      <c r="J1343" s="12" t="str">
        <f>HYPERLINK("https://www.boe.es/gazeta/dias/1804/07/24/pdfs/GMD-1804-59.pdf#page=7","Abrir facsímil")</f>
        <v>Abrir facsímil</v>
      </c>
      <c r="K1343" s="15" t="s">
        <v>22</v>
      </c>
    </row>
    <row r="1344" spans="1:11" ht="42" customHeight="1">
      <c r="A1344" s="4" t="s">
        <v>3499</v>
      </c>
      <c r="B1344" s="5" t="s">
        <v>3500</v>
      </c>
      <c r="C1344" s="5" t="s">
        <v>65</v>
      </c>
      <c r="D1344" s="5" t="s">
        <v>66</v>
      </c>
      <c r="E1344" s="5" t="s">
        <v>59</v>
      </c>
      <c r="F1344" s="9">
        <v>55</v>
      </c>
      <c r="G1344" s="9">
        <v>613</v>
      </c>
      <c r="H1344" s="5" t="s">
        <v>20</v>
      </c>
      <c r="I1344" s="5" t="s">
        <v>3501</v>
      </c>
      <c r="J1344" s="12" t="str">
        <f>HYPERLINK("https://www.boe.es/gazeta/dias/1804/07/10/pdfs/GMD-1804-55.pdf#page=11","Abrir facsímil")</f>
        <v>Abrir facsímil</v>
      </c>
      <c r="K1344" s="15" t="s">
        <v>22</v>
      </c>
    </row>
    <row r="1345" spans="1:11" ht="42" customHeight="1">
      <c r="A1345" s="4" t="s">
        <v>3502</v>
      </c>
      <c r="B1345" s="5" t="s">
        <v>3503</v>
      </c>
      <c r="C1345" s="5" t="s">
        <v>198</v>
      </c>
      <c r="D1345" s="5" t="s">
        <v>66</v>
      </c>
      <c r="E1345" s="5" t="s">
        <v>151</v>
      </c>
      <c r="F1345" s="9">
        <v>13</v>
      </c>
      <c r="G1345" s="9">
        <v>143</v>
      </c>
      <c r="H1345" s="5" t="s">
        <v>20</v>
      </c>
      <c r="I1345" s="5" t="s">
        <v>3504</v>
      </c>
      <c r="J1345" s="12" t="str">
        <f>HYPERLINK("https://www.boe.es/gazeta/dias/1804/02/14/pdfs/GMD-1804-13.pdf#page=7","Abrir facsímil")</f>
        <v>Abrir facsímil</v>
      </c>
      <c r="K1345" s="15" t="s">
        <v>22</v>
      </c>
    </row>
    <row r="1346" spans="1:11" ht="42" customHeight="1">
      <c r="A1346" s="4" t="s">
        <v>3505</v>
      </c>
      <c r="B1346" s="5" t="s">
        <v>3506</v>
      </c>
      <c r="C1346" s="5" t="s">
        <v>85</v>
      </c>
      <c r="D1346" s="5" t="s">
        <v>86</v>
      </c>
      <c r="E1346" s="5" t="s">
        <v>175</v>
      </c>
      <c r="F1346" s="9">
        <v>58</v>
      </c>
      <c r="G1346" s="9">
        <v>646</v>
      </c>
      <c r="H1346" s="5" t="s">
        <v>20</v>
      </c>
      <c r="I1346" s="5" t="s">
        <v>3507</v>
      </c>
      <c r="J1346" s="12" t="str">
        <f>HYPERLINK("https://www.boe.es/gazeta/dias/1804/07/20/pdfs/GMD-1804-58.pdf#page=12","Abrir facsímil")</f>
        <v>Abrir facsímil</v>
      </c>
      <c r="K1346" s="15" t="s">
        <v>22</v>
      </c>
    </row>
    <row r="1347" spans="1:11" ht="42" customHeight="1">
      <c r="A1347" s="4" t="s">
        <v>3508</v>
      </c>
      <c r="B1347" s="5" t="s">
        <v>3509</v>
      </c>
      <c r="C1347" s="5" t="s">
        <v>85</v>
      </c>
      <c r="D1347" s="5" t="s">
        <v>86</v>
      </c>
      <c r="E1347" s="5" t="s">
        <v>172</v>
      </c>
      <c r="F1347" s="9">
        <v>38</v>
      </c>
      <c r="G1347" s="9">
        <v>426</v>
      </c>
      <c r="H1347" s="5" t="s">
        <v>20</v>
      </c>
      <c r="I1347" s="5" t="s">
        <v>3510</v>
      </c>
      <c r="J1347" s="12" t="str">
        <f>HYPERLINK("https://www.boe.es/gazeta/dias/1804/05/11/pdfs/GMD-1804-38.pdf#page=12","Abrir facsímil")</f>
        <v>Abrir facsímil</v>
      </c>
      <c r="K1347" s="15" t="s">
        <v>22</v>
      </c>
    </row>
    <row r="1348" spans="1:11" ht="42" customHeight="1">
      <c r="A1348" s="4" t="s">
        <v>3511</v>
      </c>
      <c r="B1348" s="5" t="s">
        <v>3512</v>
      </c>
      <c r="C1348" s="5" t="s">
        <v>27</v>
      </c>
      <c r="D1348" s="5" t="s">
        <v>28</v>
      </c>
      <c r="E1348" s="5" t="s">
        <v>182</v>
      </c>
      <c r="F1348" s="9">
        <v>21</v>
      </c>
      <c r="G1348" s="9">
        <v>234</v>
      </c>
      <c r="H1348" s="5" t="s">
        <v>20</v>
      </c>
      <c r="I1348" s="5" t="s">
        <v>3513</v>
      </c>
      <c r="J1348" s="12" t="str">
        <f>HYPERLINK("https://www.boe.es/gazeta/dias/1804/03/13/pdfs/GMD-1804-21.pdf#page=10","Abrir facsímil")</f>
        <v>Abrir facsímil</v>
      </c>
      <c r="K1348" s="15" t="s">
        <v>22</v>
      </c>
    </row>
    <row r="1349" spans="1:11" ht="42" customHeight="1">
      <c r="A1349" s="4" t="s">
        <v>3514</v>
      </c>
      <c r="B1349" s="5" t="s">
        <v>3515</v>
      </c>
      <c r="C1349" s="5" t="s">
        <v>27</v>
      </c>
      <c r="D1349" s="5" t="s">
        <v>28</v>
      </c>
      <c r="E1349" s="5" t="s">
        <v>208</v>
      </c>
      <c r="F1349" s="9">
        <v>97</v>
      </c>
      <c r="G1349" s="9">
        <v>1081</v>
      </c>
      <c r="H1349" s="5" t="s">
        <v>20</v>
      </c>
      <c r="I1349" s="5" t="s">
        <v>3516</v>
      </c>
      <c r="J1349" s="12" t="str">
        <f>HYPERLINK("https://www.boe.es/gazeta/dias/1804/12/04/pdfs/GMD-1804-97.pdf#page=9","Abrir facsímil")</f>
        <v>Abrir facsímil</v>
      </c>
      <c r="K1349" s="15" t="s">
        <v>22</v>
      </c>
    </row>
    <row r="1350" spans="1:11" ht="42" customHeight="1">
      <c r="A1350" s="4" t="s">
        <v>3517</v>
      </c>
      <c r="B1350" s="5" t="s">
        <v>3518</v>
      </c>
      <c r="C1350" s="5" t="s">
        <v>17</v>
      </c>
      <c r="D1350" s="5" t="s">
        <v>18</v>
      </c>
      <c r="E1350" s="5" t="s">
        <v>367</v>
      </c>
      <c r="F1350" s="9">
        <v>64</v>
      </c>
      <c r="G1350" s="9">
        <v>716</v>
      </c>
      <c r="H1350" s="5" t="s">
        <v>20</v>
      </c>
      <c r="I1350" s="5" t="s">
        <v>3519</v>
      </c>
      <c r="J1350" s="12" t="str">
        <f>HYPERLINK("https://www.boe.es/gazeta/dias/1804/08/10/pdfs/GMD-1804-64.pdf#page=10","Abrir facsímil")</f>
        <v>Abrir facsímil</v>
      </c>
      <c r="K1350" s="15" t="s">
        <v>22</v>
      </c>
    </row>
    <row r="1351" spans="1:11" ht="42" customHeight="1">
      <c r="A1351" s="4" t="s">
        <v>3520</v>
      </c>
      <c r="B1351" s="5" t="s">
        <v>3521</v>
      </c>
      <c r="C1351" s="5" t="s">
        <v>17</v>
      </c>
      <c r="D1351" s="5" t="s">
        <v>18</v>
      </c>
      <c r="E1351" s="5" t="s">
        <v>67</v>
      </c>
      <c r="F1351" s="9">
        <v>59</v>
      </c>
      <c r="G1351" s="9">
        <v>653</v>
      </c>
      <c r="H1351" s="5" t="s">
        <v>20</v>
      </c>
      <c r="I1351" s="5" t="s">
        <v>3522</v>
      </c>
      <c r="J1351" s="12" t="str">
        <f>HYPERLINK("https://www.boe.es/gazeta/dias/1804/07/24/pdfs/GMD-1804-59.pdf#page=7","Abrir facsímil")</f>
        <v>Abrir facsímil</v>
      </c>
      <c r="K1351" s="15" t="s">
        <v>22</v>
      </c>
    </row>
    <row r="1352" spans="1:11" ht="42" customHeight="1">
      <c r="A1352" s="4" t="s">
        <v>3523</v>
      </c>
      <c r="B1352" s="5" t="s">
        <v>3524</v>
      </c>
      <c r="C1352" s="5" t="s">
        <v>17</v>
      </c>
      <c r="D1352" s="5" t="s">
        <v>18</v>
      </c>
      <c r="E1352" s="5" t="s">
        <v>71</v>
      </c>
      <c r="F1352" s="9">
        <v>99</v>
      </c>
      <c r="G1352" s="9">
        <v>1107</v>
      </c>
      <c r="H1352" s="5" t="s">
        <v>20</v>
      </c>
      <c r="I1352" s="5" t="s">
        <v>3525</v>
      </c>
      <c r="J1352" s="12" t="str">
        <f>HYPERLINK("https://www.boe.es/gazeta/dias/1804/12/11/pdfs/GMD-1804-99.pdf#page=7","Abrir facsímil")</f>
        <v>Abrir facsímil</v>
      </c>
      <c r="K1352" s="15" t="s">
        <v>22</v>
      </c>
    </row>
    <row r="1353" spans="1:11" ht="42" customHeight="1">
      <c r="A1353" s="4" t="s">
        <v>3526</v>
      </c>
      <c r="B1353" s="5" t="s">
        <v>3527</v>
      </c>
      <c r="C1353" s="5" t="s">
        <v>27</v>
      </c>
      <c r="D1353" s="5" t="s">
        <v>28</v>
      </c>
      <c r="E1353" s="5" t="s">
        <v>67</v>
      </c>
      <c r="F1353" s="9">
        <v>59</v>
      </c>
      <c r="G1353" s="9">
        <v>652</v>
      </c>
      <c r="H1353" s="5" t="s">
        <v>20</v>
      </c>
      <c r="I1353" s="5" t="s">
        <v>3528</v>
      </c>
      <c r="J1353" s="12" t="str">
        <f>HYPERLINK("https://www.boe.es/gazeta/dias/1804/07/24/pdfs/GMD-1804-59.pdf#page=6","Abrir facsímil")</f>
        <v>Abrir facsímil</v>
      </c>
      <c r="K1353" s="15" t="s">
        <v>22</v>
      </c>
    </row>
    <row r="1354" spans="1:11" ht="42" customHeight="1">
      <c r="A1354" s="4" t="s">
        <v>3529</v>
      </c>
      <c r="B1354" s="5" t="s">
        <v>3530</v>
      </c>
      <c r="C1354" s="5" t="s">
        <v>65</v>
      </c>
      <c r="D1354" s="5" t="s">
        <v>66</v>
      </c>
      <c r="E1354" s="5" t="s">
        <v>1179</v>
      </c>
      <c r="F1354" s="9">
        <v>43</v>
      </c>
      <c r="G1354" s="9">
        <v>479</v>
      </c>
      <c r="H1354" s="5" t="s">
        <v>20</v>
      </c>
      <c r="I1354" s="5" t="s">
        <v>3531</v>
      </c>
      <c r="J1354" s="12" t="str">
        <f>HYPERLINK("https://www.boe.es/gazeta/dias/1804/05/29/pdfs/GMD-1804-43.pdf#page=5","Abrir facsímil")</f>
        <v>Abrir facsímil</v>
      </c>
      <c r="K1354" s="15" t="s">
        <v>22</v>
      </c>
    </row>
    <row r="1355" spans="1:11" ht="42" customHeight="1">
      <c r="A1355" s="4" t="s">
        <v>3529</v>
      </c>
      <c r="B1355" s="5" t="s">
        <v>3530</v>
      </c>
      <c r="C1355" s="5" t="s">
        <v>27</v>
      </c>
      <c r="D1355" s="5" t="s">
        <v>28</v>
      </c>
      <c r="E1355" s="5" t="s">
        <v>308</v>
      </c>
      <c r="F1355" s="9">
        <v>96</v>
      </c>
      <c r="G1355" s="9">
        <v>1066</v>
      </c>
      <c r="H1355" s="5" t="s">
        <v>20</v>
      </c>
      <c r="I1355" s="5" t="s">
        <v>3532</v>
      </c>
      <c r="J1355" s="12" t="str">
        <f>HYPERLINK("https://www.boe.es/gazeta/dias/1804/11/30/pdfs/GMD-1804-96.pdf#page=6","Abrir facsímil")</f>
        <v>Abrir facsímil</v>
      </c>
      <c r="K1355" s="15" t="s">
        <v>22</v>
      </c>
    </row>
    <row r="1356" spans="1:11" ht="42" customHeight="1">
      <c r="A1356" s="4" t="s">
        <v>3533</v>
      </c>
      <c r="B1356" s="5" t="s">
        <v>3534</v>
      </c>
      <c r="C1356" s="5" t="s">
        <v>198</v>
      </c>
      <c r="D1356" s="5" t="s">
        <v>66</v>
      </c>
      <c r="E1356" s="5" t="s">
        <v>41</v>
      </c>
      <c r="F1356" s="9">
        <v>24</v>
      </c>
      <c r="G1356" s="9">
        <v>277</v>
      </c>
      <c r="H1356" s="5" t="s">
        <v>20</v>
      </c>
      <c r="I1356" s="5" t="s">
        <v>3535</v>
      </c>
      <c r="J1356" s="12" t="str">
        <f>HYPERLINK("https://www.boe.es/gazeta/dias/1804/03/23/pdfs/GMD-1804-24.pdf#page=11","Abrir facsímil")</f>
        <v>Abrir facsímil</v>
      </c>
      <c r="K1356" s="15" t="s">
        <v>22</v>
      </c>
    </row>
    <row r="1357" spans="1:11" ht="42" customHeight="1">
      <c r="A1357" s="4" t="s">
        <v>3536</v>
      </c>
      <c r="B1357" s="5" t="s">
        <v>3537</v>
      </c>
      <c r="C1357" s="5" t="s">
        <v>17</v>
      </c>
      <c r="D1357" s="5" t="s">
        <v>18</v>
      </c>
      <c r="E1357" s="5" t="s">
        <v>106</v>
      </c>
      <c r="F1357" s="9">
        <v>34</v>
      </c>
      <c r="G1357" s="9">
        <v>378</v>
      </c>
      <c r="H1357" s="5" t="s">
        <v>20</v>
      </c>
      <c r="I1357" s="5" t="s">
        <v>3538</v>
      </c>
      <c r="J1357" s="12" t="str">
        <f>HYPERLINK("https://www.boe.es/gazeta/dias/1804/04/27/pdfs/GMD-1804-34.pdf#page=8","Abrir facsímil")</f>
        <v>Abrir facsímil</v>
      </c>
      <c r="K1357" s="15" t="s">
        <v>22</v>
      </c>
    </row>
    <row r="1358" spans="1:11" ht="42" customHeight="1">
      <c r="A1358" s="4" t="s">
        <v>3536</v>
      </c>
      <c r="B1358" s="5" t="s">
        <v>3537</v>
      </c>
      <c r="C1358" s="5" t="s">
        <v>27</v>
      </c>
      <c r="D1358" s="5" t="s">
        <v>28</v>
      </c>
      <c r="E1358" s="5" t="s">
        <v>1179</v>
      </c>
      <c r="F1358" s="9">
        <v>43</v>
      </c>
      <c r="G1358" s="9">
        <v>481</v>
      </c>
      <c r="H1358" s="5" t="s">
        <v>20</v>
      </c>
      <c r="I1358" s="5" t="s">
        <v>3539</v>
      </c>
      <c r="J1358" s="12" t="str">
        <f>HYPERLINK("https://www.boe.es/gazeta/dias/1804/05/29/pdfs/GMD-1804-43.pdf#page=7","Abrir facsímil")</f>
        <v>Abrir facsímil</v>
      </c>
      <c r="K1358" s="15" t="s">
        <v>22</v>
      </c>
    </row>
    <row r="1359" spans="1:11" ht="42" customHeight="1">
      <c r="A1359" s="4" t="s">
        <v>3536</v>
      </c>
      <c r="B1359" s="5" t="s">
        <v>3537</v>
      </c>
      <c r="C1359" s="5" t="s">
        <v>27</v>
      </c>
      <c r="D1359" s="5" t="s">
        <v>28</v>
      </c>
      <c r="E1359" s="5" t="s">
        <v>466</v>
      </c>
      <c r="F1359" s="9">
        <v>76</v>
      </c>
      <c r="G1359" s="9">
        <v>849</v>
      </c>
      <c r="H1359" s="5" t="s">
        <v>20</v>
      </c>
      <c r="I1359" s="5" t="s">
        <v>3540</v>
      </c>
      <c r="J1359" s="12" t="str">
        <f>HYPERLINK("https://www.boe.es/gazeta/dias/1804/09/21/pdfs/GMD-1804-76.pdf#page=7","Abrir facsímil")</f>
        <v>Abrir facsímil</v>
      </c>
      <c r="K1359" s="15" t="s">
        <v>22</v>
      </c>
    </row>
    <row r="1360" spans="1:11" ht="42" customHeight="1">
      <c r="A1360" s="4" t="s">
        <v>3536</v>
      </c>
      <c r="B1360" s="5" t="s">
        <v>3537</v>
      </c>
      <c r="C1360" s="5" t="s">
        <v>27</v>
      </c>
      <c r="D1360" s="5" t="s">
        <v>28</v>
      </c>
      <c r="E1360" s="5" t="s">
        <v>71</v>
      </c>
      <c r="F1360" s="9">
        <v>99</v>
      </c>
      <c r="G1360" s="9">
        <v>1108</v>
      </c>
      <c r="H1360" s="5" t="s">
        <v>20</v>
      </c>
      <c r="I1360" s="5" t="s">
        <v>3541</v>
      </c>
      <c r="J1360" s="12" t="str">
        <f>HYPERLINK("https://www.boe.es/gazeta/dias/1804/12/11/pdfs/GMD-1804-99.pdf#page=8","Abrir facsímil")</f>
        <v>Abrir facsímil</v>
      </c>
      <c r="K1360" s="15" t="s">
        <v>22</v>
      </c>
    </row>
    <row r="1361" spans="1:11" ht="42" customHeight="1">
      <c r="A1361" s="4" t="s">
        <v>3542</v>
      </c>
      <c r="B1361" s="5" t="s">
        <v>3543</v>
      </c>
      <c r="C1361" s="5" t="s">
        <v>17</v>
      </c>
      <c r="D1361" s="5" t="s">
        <v>18</v>
      </c>
      <c r="E1361" s="5" t="s">
        <v>350</v>
      </c>
      <c r="F1361" s="9">
        <v>19</v>
      </c>
      <c r="G1361" s="9">
        <v>209</v>
      </c>
      <c r="H1361" s="5" t="s">
        <v>20</v>
      </c>
      <c r="I1361" s="5" t="s">
        <v>3544</v>
      </c>
      <c r="J1361" s="12" t="str">
        <f>HYPERLINK("https://www.boe.es/gazeta/dias/1804/03/06/pdfs/GMD-1804-19.pdf#page=9","Abrir facsímil")</f>
        <v>Abrir facsímil</v>
      </c>
      <c r="K1361" s="15" t="s">
        <v>22</v>
      </c>
    </row>
    <row r="1362" spans="1:11" ht="42" customHeight="1">
      <c r="A1362" s="4" t="s">
        <v>3545</v>
      </c>
      <c r="B1362" s="5" t="s">
        <v>3546</v>
      </c>
      <c r="C1362" s="5" t="s">
        <v>85</v>
      </c>
      <c r="D1362" s="5" t="s">
        <v>86</v>
      </c>
      <c r="E1362" s="5" t="s">
        <v>50</v>
      </c>
      <c r="F1362" s="9">
        <v>93</v>
      </c>
      <c r="G1362" s="9">
        <v>1031</v>
      </c>
      <c r="H1362" s="5" t="s">
        <v>20</v>
      </c>
      <c r="I1362" s="5" t="s">
        <v>3547</v>
      </c>
      <c r="J1362" s="12" t="str">
        <f>HYPERLINK("https://www.boe.es/gazeta/dias/1804/11/20/pdfs/GMD-1804-93.pdf#page=7","Abrir facsímil")</f>
        <v>Abrir facsímil</v>
      </c>
      <c r="K1362" s="15" t="s">
        <v>22</v>
      </c>
    </row>
    <row r="1363" spans="1:11" ht="42" customHeight="1">
      <c r="A1363" s="4" t="s">
        <v>3548</v>
      </c>
      <c r="B1363" s="5" t="s">
        <v>3549</v>
      </c>
      <c r="C1363" s="5" t="s">
        <v>27</v>
      </c>
      <c r="D1363" s="5" t="s">
        <v>28</v>
      </c>
      <c r="E1363" s="5" t="s">
        <v>332</v>
      </c>
      <c r="F1363" s="9">
        <v>66</v>
      </c>
      <c r="G1363" s="9">
        <v>740</v>
      </c>
      <c r="H1363" s="5" t="s">
        <v>20</v>
      </c>
      <c r="I1363" s="5" t="s">
        <v>3550</v>
      </c>
      <c r="J1363" s="12" t="str">
        <f>HYPERLINK("https://www.boe.es/gazeta/dias/1804/08/17/pdfs/GMD-1804-66.pdf#page=6","Abrir facsímil")</f>
        <v>Abrir facsímil</v>
      </c>
      <c r="K1363" s="15" t="s">
        <v>22</v>
      </c>
    </row>
    <row r="1364" spans="1:11" ht="42" customHeight="1">
      <c r="A1364" s="4" t="s">
        <v>3551</v>
      </c>
      <c r="B1364" s="5" t="s">
        <v>3552</v>
      </c>
      <c r="C1364" s="5" t="s">
        <v>27</v>
      </c>
      <c r="D1364" s="5" t="s">
        <v>28</v>
      </c>
      <c r="E1364" s="5" t="s">
        <v>670</v>
      </c>
      <c r="F1364" s="9">
        <v>41</v>
      </c>
      <c r="G1364" s="9">
        <v>458</v>
      </c>
      <c r="H1364" s="5" t="s">
        <v>20</v>
      </c>
      <c r="I1364" s="5" t="s">
        <v>3553</v>
      </c>
      <c r="J1364" s="12" t="str">
        <f>HYPERLINK("https://www.boe.es/gazeta/dias/1804/05/22/pdfs/GMD-1804-41.pdf#page=8","Abrir facsímil")</f>
        <v>Abrir facsímil</v>
      </c>
      <c r="K1364" s="15" t="s">
        <v>22</v>
      </c>
    </row>
    <row r="1365" spans="1:11" ht="42" customHeight="1">
      <c r="A1365" s="4" t="s">
        <v>3554</v>
      </c>
      <c r="B1365" s="5" t="s">
        <v>3555</v>
      </c>
      <c r="C1365" s="5" t="s">
        <v>27</v>
      </c>
      <c r="D1365" s="5" t="s">
        <v>28</v>
      </c>
      <c r="E1365" s="5" t="s">
        <v>234</v>
      </c>
      <c r="F1365" s="9">
        <v>86</v>
      </c>
      <c r="G1365" s="9">
        <v>948</v>
      </c>
      <c r="H1365" s="5" t="s">
        <v>20</v>
      </c>
      <c r="I1365" s="5" t="s">
        <v>3556</v>
      </c>
      <c r="J1365" s="12" t="str">
        <f>HYPERLINK("https://www.boe.es/gazeta/dias/1804/10/26/pdfs/GMD-1804-86.pdf#page=6","Abrir facsímil")</f>
        <v>Abrir facsímil</v>
      </c>
      <c r="K1365" s="15" t="s">
        <v>22</v>
      </c>
    </row>
    <row r="1366" spans="1:11" ht="42" customHeight="1">
      <c r="A1366" s="4" t="s">
        <v>3557</v>
      </c>
      <c r="B1366" s="5" t="s">
        <v>3558</v>
      </c>
      <c r="C1366" s="5" t="s">
        <v>27</v>
      </c>
      <c r="D1366" s="5" t="s">
        <v>28</v>
      </c>
      <c r="E1366" s="5" t="s">
        <v>794</v>
      </c>
      <c r="F1366" s="9">
        <v>42</v>
      </c>
      <c r="G1366" s="9">
        <v>473</v>
      </c>
      <c r="H1366" s="5" t="s">
        <v>20</v>
      </c>
      <c r="I1366" s="5" t="s">
        <v>3559</v>
      </c>
      <c r="J1366" s="12" t="str">
        <f>HYPERLINK("https://www.boe.es/gazeta/dias/1804/05/25/pdfs/GMD-1804-42.pdf#page=11","Abrir facsímil")</f>
        <v>Abrir facsímil</v>
      </c>
      <c r="K1366" s="15" t="s">
        <v>22</v>
      </c>
    </row>
    <row r="1367" spans="1:11" ht="42" customHeight="1">
      <c r="A1367" s="4" t="s">
        <v>3560</v>
      </c>
      <c r="B1367" s="5" t="s">
        <v>3561</v>
      </c>
      <c r="C1367" s="5" t="s">
        <v>17</v>
      </c>
      <c r="D1367" s="5" t="s">
        <v>18</v>
      </c>
      <c r="E1367" s="5" t="s">
        <v>216</v>
      </c>
      <c r="F1367" s="9">
        <v>67</v>
      </c>
      <c r="G1367" s="9">
        <v>753</v>
      </c>
      <c r="H1367" s="5" t="s">
        <v>20</v>
      </c>
      <c r="I1367" s="5" t="s">
        <v>3562</v>
      </c>
      <c r="J1367" s="12" t="str">
        <f>HYPERLINK("https://www.boe.es/gazeta/dias/1804/08/21/pdfs/GMD-1804-67.pdf#page=11","Abrir facsímil")</f>
        <v>Abrir facsímil</v>
      </c>
      <c r="K1367" s="15" t="s">
        <v>22</v>
      </c>
    </row>
    <row r="1368" spans="1:11" ht="42" customHeight="1">
      <c r="A1368" s="4" t="s">
        <v>3563</v>
      </c>
      <c r="B1368" s="5" t="s">
        <v>3564</v>
      </c>
      <c r="C1368" s="5" t="s">
        <v>17</v>
      </c>
      <c r="D1368" s="5" t="s">
        <v>18</v>
      </c>
      <c r="E1368" s="5" t="s">
        <v>175</v>
      </c>
      <c r="F1368" s="9">
        <v>58</v>
      </c>
      <c r="G1368" s="9">
        <v>643</v>
      </c>
      <c r="H1368" s="5" t="s">
        <v>20</v>
      </c>
      <c r="I1368" s="5" t="s">
        <v>3565</v>
      </c>
      <c r="J1368" s="12" t="str">
        <f>HYPERLINK("https://www.boe.es/gazeta/dias/1804/07/20/pdfs/GMD-1804-58.pdf#page=9","Abrir facsímil")</f>
        <v>Abrir facsímil</v>
      </c>
      <c r="K1368" s="15" t="s">
        <v>22</v>
      </c>
    </row>
    <row r="1369" spans="1:11" ht="42" customHeight="1">
      <c r="A1369" s="4" t="s">
        <v>3566</v>
      </c>
      <c r="B1369" s="5" t="s">
        <v>3567</v>
      </c>
      <c r="C1369" s="5" t="s">
        <v>65</v>
      </c>
      <c r="D1369" s="5" t="s">
        <v>66</v>
      </c>
      <c r="E1369" s="5" t="s">
        <v>515</v>
      </c>
      <c r="F1369" s="9">
        <v>102</v>
      </c>
      <c r="G1369" s="9">
        <v>1134</v>
      </c>
      <c r="H1369" s="5" t="s">
        <v>20</v>
      </c>
      <c r="I1369" s="5" t="s">
        <v>3568</v>
      </c>
      <c r="J1369" s="12" t="str">
        <f>HYPERLINK("https://www.boe.es/gazeta/dias/1804/12/21/pdfs/GMD-1804-102.pdf#page=2","Abrir facsímil")</f>
        <v>Abrir facsímil</v>
      </c>
      <c r="K1369" s="15" t="s">
        <v>22</v>
      </c>
    </row>
    <row r="1370" spans="1:11" ht="42" customHeight="1">
      <c r="A1370" s="4" t="s">
        <v>3569</v>
      </c>
      <c r="B1370" s="5" t="s">
        <v>3570</v>
      </c>
      <c r="C1370" s="5" t="s">
        <v>27</v>
      </c>
      <c r="D1370" s="5" t="s">
        <v>28</v>
      </c>
      <c r="E1370" s="5" t="s">
        <v>1449</v>
      </c>
      <c r="F1370" s="9">
        <v>8</v>
      </c>
      <c r="G1370" s="9">
        <v>78</v>
      </c>
      <c r="H1370" s="5" t="s">
        <v>20</v>
      </c>
      <c r="I1370" s="5" t="s">
        <v>3571</v>
      </c>
      <c r="J1370" s="12" t="str">
        <f>HYPERLINK("https://www.boe.es/gazeta/dias/1804/01/27/pdfs/GMD-1804-8.pdf#page=2","Abrir facsímil")</f>
        <v>Abrir facsímil</v>
      </c>
      <c r="K1370" s="15" t="s">
        <v>22</v>
      </c>
    </row>
    <row r="1371" spans="1:11" ht="42" customHeight="1">
      <c r="A1371" s="4" t="s">
        <v>3569</v>
      </c>
      <c r="B1371" s="5" t="s">
        <v>3570</v>
      </c>
      <c r="C1371" s="5" t="s">
        <v>57</v>
      </c>
      <c r="D1371" s="5" t="s">
        <v>58</v>
      </c>
      <c r="E1371" s="5" t="s">
        <v>216</v>
      </c>
      <c r="F1371" s="9">
        <v>67</v>
      </c>
      <c r="G1371" s="9">
        <v>744</v>
      </c>
      <c r="H1371" s="5" t="s">
        <v>20</v>
      </c>
      <c r="I1371" s="5" t="s">
        <v>3572</v>
      </c>
      <c r="J1371" s="12" t="str">
        <f>HYPERLINK("https://www.boe.es/gazeta/dias/1804/08/21/pdfs/GMD-1804-67.pdf#page=2","Abrir facsímil")</f>
        <v>Abrir facsímil</v>
      </c>
      <c r="K1371" s="15" t="s">
        <v>22</v>
      </c>
    </row>
    <row r="1372" spans="1:11" ht="42" customHeight="1">
      <c r="A1372" s="4" t="s">
        <v>3569</v>
      </c>
      <c r="B1372" s="5" t="s">
        <v>3570</v>
      </c>
      <c r="C1372" s="5" t="s">
        <v>27</v>
      </c>
      <c r="D1372" s="5" t="s">
        <v>28</v>
      </c>
      <c r="E1372" s="5" t="s">
        <v>43</v>
      </c>
      <c r="F1372" s="9">
        <v>84</v>
      </c>
      <c r="G1372" s="9">
        <v>925</v>
      </c>
      <c r="H1372" s="5" t="s">
        <v>20</v>
      </c>
      <c r="I1372" s="5" t="s">
        <v>3573</v>
      </c>
      <c r="J1372" s="12" t="str">
        <f>HYPERLINK("https://www.boe.es/gazeta/dias/1804/10/19/pdfs/GMD-1804-84.pdf#page=3","Abrir facsímil")</f>
        <v>Abrir facsímil</v>
      </c>
      <c r="K1372" s="15" t="s">
        <v>22</v>
      </c>
    </row>
    <row r="1373" spans="1:11" ht="42" customHeight="1">
      <c r="A1373" s="4" t="s">
        <v>3569</v>
      </c>
      <c r="B1373" s="5" t="s">
        <v>3570</v>
      </c>
      <c r="C1373" s="5" t="s">
        <v>17</v>
      </c>
      <c r="D1373" s="5" t="s">
        <v>18</v>
      </c>
      <c r="E1373" s="5" t="s">
        <v>950</v>
      </c>
      <c r="F1373" s="9">
        <v>90</v>
      </c>
      <c r="G1373" s="9">
        <v>996</v>
      </c>
      <c r="H1373" s="5" t="s">
        <v>20</v>
      </c>
      <c r="I1373" s="5" t="s">
        <v>3574</v>
      </c>
      <c r="J1373" s="12" t="str">
        <f>HYPERLINK("https://www.boe.es/gazeta/dias/1804/11/09/pdfs/GMD-1804-90.pdf#page=4","Abrir facsímil")</f>
        <v>Abrir facsímil</v>
      </c>
      <c r="K1373" s="15" t="s">
        <v>22</v>
      </c>
    </row>
    <row r="1374" spans="1:11" ht="42" customHeight="1">
      <c r="A1374" s="4" t="s">
        <v>3569</v>
      </c>
      <c r="B1374" s="5" t="s">
        <v>3570</v>
      </c>
      <c r="C1374" s="5" t="s">
        <v>57</v>
      </c>
      <c r="D1374" s="5" t="s">
        <v>58</v>
      </c>
      <c r="E1374" s="5" t="s">
        <v>678</v>
      </c>
      <c r="F1374" s="9">
        <v>104</v>
      </c>
      <c r="G1374" s="9">
        <v>1157</v>
      </c>
      <c r="H1374" s="5" t="s">
        <v>20</v>
      </c>
      <c r="I1374" s="5" t="s">
        <v>3575</v>
      </c>
      <c r="J1374" s="12" t="str">
        <f>HYPERLINK("https://www.boe.es/gazeta/dias/1804/12/28/pdfs/GMD-1804-104.pdf#page=5","Abrir facsímil")</f>
        <v>Abrir facsímil</v>
      </c>
      <c r="K1374" s="15" t="s">
        <v>22</v>
      </c>
    </row>
    <row r="1375" spans="1:11" ht="42" customHeight="1">
      <c r="A1375" s="4" t="s">
        <v>3576</v>
      </c>
      <c r="B1375" s="5" t="s">
        <v>3577</v>
      </c>
      <c r="C1375" s="5" t="s">
        <v>27</v>
      </c>
      <c r="D1375" s="5" t="s">
        <v>28</v>
      </c>
      <c r="E1375" s="5" t="s">
        <v>736</v>
      </c>
      <c r="F1375" s="9">
        <v>83</v>
      </c>
      <c r="G1375" s="9">
        <v>919</v>
      </c>
      <c r="H1375" s="5" t="s">
        <v>20</v>
      </c>
      <c r="I1375" s="5" t="s">
        <v>3578</v>
      </c>
      <c r="J1375" s="12" t="str">
        <f>HYPERLINK("https://www.boe.es/gazeta/dias/1804/10/16/pdfs/GMD-1804-83.pdf#page=9","Abrir facsímil")</f>
        <v>Abrir facsímil</v>
      </c>
      <c r="K1375" s="15" t="s">
        <v>22</v>
      </c>
    </row>
    <row r="1376" spans="1:11" ht="42" customHeight="1">
      <c r="A1376" s="4" t="s">
        <v>3579</v>
      </c>
      <c r="B1376" s="5" t="s">
        <v>3580</v>
      </c>
      <c r="C1376" s="5" t="s">
        <v>27</v>
      </c>
      <c r="D1376" s="5" t="s">
        <v>28</v>
      </c>
      <c r="E1376" s="5" t="s">
        <v>587</v>
      </c>
      <c r="F1376" s="9">
        <v>62</v>
      </c>
      <c r="G1376" s="9">
        <v>688</v>
      </c>
      <c r="H1376" s="5" t="s">
        <v>20</v>
      </c>
      <c r="I1376" s="5" t="s">
        <v>3581</v>
      </c>
      <c r="J1376" s="12" t="str">
        <f>HYPERLINK("https://www.boe.es/gazeta/dias/1804/08/03/pdfs/GMD-1804-62.pdf#page=10","Abrir facsímil")</f>
        <v>Abrir facsímil</v>
      </c>
      <c r="K1376" s="15" t="s">
        <v>22</v>
      </c>
    </row>
    <row r="1377" spans="1:11" ht="42" customHeight="1">
      <c r="A1377" s="4" t="s">
        <v>3582</v>
      </c>
      <c r="B1377" s="5" t="s">
        <v>3583</v>
      </c>
      <c r="C1377" s="5" t="s">
        <v>198</v>
      </c>
      <c r="D1377" s="5" t="s">
        <v>66</v>
      </c>
      <c r="E1377" s="5" t="s">
        <v>81</v>
      </c>
      <c r="F1377" s="9">
        <v>98</v>
      </c>
      <c r="G1377" s="9">
        <v>1088</v>
      </c>
      <c r="H1377" s="5" t="s">
        <v>20</v>
      </c>
      <c r="I1377" s="5" t="s">
        <v>3584</v>
      </c>
      <c r="J1377" s="12" t="str">
        <f>HYPERLINK("https://www.boe.es/gazeta/dias/1804/12/07/pdfs/GMD-1804-98.pdf#page=4","Abrir facsímil")</f>
        <v>Abrir facsímil</v>
      </c>
      <c r="K1377" s="15" t="s">
        <v>22</v>
      </c>
    </row>
    <row r="1378" spans="1:11" ht="42" customHeight="1">
      <c r="A1378" s="4" t="s">
        <v>3585</v>
      </c>
      <c r="B1378" s="5" t="s">
        <v>3586</v>
      </c>
      <c r="C1378" s="5" t="s">
        <v>198</v>
      </c>
      <c r="D1378" s="5" t="s">
        <v>66</v>
      </c>
      <c r="E1378" s="5" t="s">
        <v>81</v>
      </c>
      <c r="F1378" s="9">
        <v>98</v>
      </c>
      <c r="G1378" s="9">
        <v>1088</v>
      </c>
      <c r="H1378" s="5" t="s">
        <v>20</v>
      </c>
      <c r="I1378" s="5" t="s">
        <v>3587</v>
      </c>
      <c r="J1378" s="12" t="str">
        <f>HYPERLINK("https://www.boe.es/gazeta/dias/1804/12/07/pdfs/GMD-1804-98.pdf#page=4","Abrir facsímil")</f>
        <v>Abrir facsímil</v>
      </c>
      <c r="K1378" s="15" t="s">
        <v>22</v>
      </c>
    </row>
    <row r="1379" spans="1:11" ht="42" customHeight="1">
      <c r="A1379" s="4" t="s">
        <v>3588</v>
      </c>
      <c r="B1379" s="5" t="s">
        <v>3589</v>
      </c>
      <c r="C1379" s="5" t="s">
        <v>17</v>
      </c>
      <c r="D1379" s="5" t="s">
        <v>18</v>
      </c>
      <c r="E1379" s="5" t="s">
        <v>736</v>
      </c>
      <c r="F1379" s="9">
        <v>83</v>
      </c>
      <c r="G1379" s="9">
        <v>921</v>
      </c>
      <c r="H1379" s="5" t="s">
        <v>20</v>
      </c>
      <c r="I1379" s="5" t="s">
        <v>3590</v>
      </c>
      <c r="J1379" s="12" t="str">
        <f>HYPERLINK("https://www.boe.es/gazeta/dias/1804/10/16/pdfs/GMD-1804-83.pdf#page=11","Abrir facsímil")</f>
        <v>Abrir facsímil</v>
      </c>
      <c r="K1379" s="15" t="s">
        <v>22</v>
      </c>
    </row>
    <row r="1380" spans="1:11" ht="42" customHeight="1">
      <c r="A1380" s="4" t="s">
        <v>3591</v>
      </c>
      <c r="B1380" s="5" t="s">
        <v>3592</v>
      </c>
      <c r="C1380" s="5" t="s">
        <v>27</v>
      </c>
      <c r="D1380" s="5" t="s">
        <v>28</v>
      </c>
      <c r="E1380" s="5" t="s">
        <v>398</v>
      </c>
      <c r="F1380" s="9">
        <v>22</v>
      </c>
      <c r="G1380" s="9">
        <v>244</v>
      </c>
      <c r="H1380" s="5" t="s">
        <v>20</v>
      </c>
      <c r="I1380" s="5" t="s">
        <v>3593</v>
      </c>
      <c r="J1380" s="12" t="str">
        <f>HYPERLINK("https://www.boe.es/gazeta/dias/1804/03/16/pdfs/GMD-1804-22.pdf#page=8","Abrir facsímil")</f>
        <v>Abrir facsímil</v>
      </c>
      <c r="K1380" s="15" t="s">
        <v>22</v>
      </c>
    </row>
    <row r="1381" spans="1:11" ht="42" customHeight="1">
      <c r="A1381" s="4" t="s">
        <v>3594</v>
      </c>
      <c r="B1381" s="5" t="s">
        <v>3595</v>
      </c>
      <c r="C1381" s="5" t="s">
        <v>65</v>
      </c>
      <c r="D1381" s="5" t="s">
        <v>66</v>
      </c>
      <c r="E1381" s="5" t="s">
        <v>388</v>
      </c>
      <c r="F1381" s="9">
        <v>18</v>
      </c>
      <c r="G1381" s="9">
        <v>199</v>
      </c>
      <c r="H1381" s="5" t="s">
        <v>20</v>
      </c>
      <c r="I1381" s="5" t="s">
        <v>3596</v>
      </c>
      <c r="J1381" s="12" t="str">
        <f>HYPERLINK("https://www.boe.es/gazeta/dias/1804/03/02/pdfs/GMD-1804-18.pdf#page=11","Abrir facsímil")</f>
        <v>Abrir facsímil</v>
      </c>
      <c r="K1381" s="15" t="s">
        <v>22</v>
      </c>
    </row>
    <row r="1382" spans="1:11" ht="42" customHeight="1">
      <c r="A1382" s="4" t="s">
        <v>3597</v>
      </c>
      <c r="B1382" s="5" t="s">
        <v>3598</v>
      </c>
      <c r="C1382" s="5" t="s">
        <v>27</v>
      </c>
      <c r="D1382" s="5" t="s">
        <v>28</v>
      </c>
      <c r="E1382" s="5" t="s">
        <v>466</v>
      </c>
      <c r="F1382" s="9">
        <v>76</v>
      </c>
      <c r="G1382" s="9">
        <v>847</v>
      </c>
      <c r="H1382" s="5" t="s">
        <v>20</v>
      </c>
      <c r="I1382" s="5" t="s">
        <v>3599</v>
      </c>
      <c r="J1382" s="12" t="str">
        <f>HYPERLINK("https://www.boe.es/gazeta/dias/1804/09/21/pdfs/GMD-1804-76.pdf#page=5","Abrir facsímil")</f>
        <v>Abrir facsímil</v>
      </c>
      <c r="K1382" s="15" t="s">
        <v>22</v>
      </c>
    </row>
    <row r="1383" spans="1:11" ht="42" customHeight="1">
      <c r="A1383" s="4" t="s">
        <v>3600</v>
      </c>
      <c r="B1383" s="5" t="s">
        <v>3601</v>
      </c>
      <c r="C1383" s="5" t="s">
        <v>27</v>
      </c>
      <c r="D1383" s="5" t="s">
        <v>28</v>
      </c>
      <c r="E1383" s="5" t="s">
        <v>109</v>
      </c>
      <c r="F1383" s="9">
        <v>35</v>
      </c>
      <c r="G1383" s="9">
        <v>387</v>
      </c>
      <c r="H1383" s="5" t="s">
        <v>20</v>
      </c>
      <c r="I1383" s="5" t="s">
        <v>3602</v>
      </c>
      <c r="J1383" s="12" t="str">
        <f>HYPERLINK("https://www.boe.es/gazeta/dias/1804/05/01/pdfs/GMD-1804-35.pdf#page=9","Abrir facsímil")</f>
        <v>Abrir facsímil</v>
      </c>
      <c r="K1383" s="15" t="s">
        <v>22</v>
      </c>
    </row>
    <row r="1384" spans="1:11" ht="42" customHeight="1">
      <c r="A1384" s="4" t="s">
        <v>3603</v>
      </c>
      <c r="B1384" s="5" t="s">
        <v>3604</v>
      </c>
      <c r="C1384" s="5" t="s">
        <v>17</v>
      </c>
      <c r="D1384" s="5" t="s">
        <v>18</v>
      </c>
      <c r="E1384" s="5" t="s">
        <v>71</v>
      </c>
      <c r="F1384" s="9">
        <v>99</v>
      </c>
      <c r="G1384" s="9">
        <v>1106</v>
      </c>
      <c r="H1384" s="5" t="s">
        <v>20</v>
      </c>
      <c r="I1384" s="5" t="s">
        <v>3605</v>
      </c>
      <c r="J1384" s="12" t="str">
        <f>HYPERLINK("https://www.boe.es/gazeta/dias/1804/12/11/pdfs/GMD-1804-99.pdf#page=6","Abrir facsímil")</f>
        <v>Abrir facsímil</v>
      </c>
      <c r="K1384" s="15" t="s">
        <v>22</v>
      </c>
    </row>
    <row r="1385" spans="1:11" ht="42" customHeight="1">
      <c r="A1385" s="4" t="s">
        <v>3606</v>
      </c>
      <c r="B1385" s="5" t="s">
        <v>3607</v>
      </c>
      <c r="C1385" s="5" t="s">
        <v>27</v>
      </c>
      <c r="D1385" s="5" t="s">
        <v>28</v>
      </c>
      <c r="E1385" s="5" t="s">
        <v>317</v>
      </c>
      <c r="F1385" s="9">
        <v>56</v>
      </c>
      <c r="G1385" s="9">
        <v>622</v>
      </c>
      <c r="H1385" s="5" t="s">
        <v>20</v>
      </c>
      <c r="I1385" s="5" t="s">
        <v>3608</v>
      </c>
      <c r="J1385" s="12" t="str">
        <f>HYPERLINK("https://www.boe.es/gazeta/dias/1804/07/13/pdfs/GMD-1804-56.pdf#page=8","Abrir facsímil")</f>
        <v>Abrir facsímil</v>
      </c>
      <c r="K1385" s="15" t="s">
        <v>22</v>
      </c>
    </row>
    <row r="1386" spans="1:11" ht="42" customHeight="1">
      <c r="A1386" s="4" t="s">
        <v>3609</v>
      </c>
      <c r="B1386" s="5" t="s">
        <v>3610</v>
      </c>
      <c r="C1386" s="5" t="s">
        <v>27</v>
      </c>
      <c r="D1386" s="5" t="s">
        <v>28</v>
      </c>
      <c r="E1386" s="5" t="s">
        <v>67</v>
      </c>
      <c r="F1386" s="9">
        <v>59</v>
      </c>
      <c r="G1386" s="9">
        <v>653</v>
      </c>
      <c r="H1386" s="5" t="s">
        <v>20</v>
      </c>
      <c r="I1386" s="5" t="s">
        <v>3611</v>
      </c>
      <c r="J1386" s="12" t="str">
        <f>HYPERLINK("https://www.boe.es/gazeta/dias/1804/07/24/pdfs/GMD-1804-59.pdf#page=7","Abrir facsímil")</f>
        <v>Abrir facsímil</v>
      </c>
      <c r="K1386" s="15" t="s">
        <v>22</v>
      </c>
    </row>
    <row r="1387" spans="1:11" ht="42" customHeight="1">
      <c r="A1387" s="4" t="s">
        <v>3612</v>
      </c>
      <c r="B1387" s="5" t="s">
        <v>3613</v>
      </c>
      <c r="C1387" s="5" t="s">
        <v>65</v>
      </c>
      <c r="D1387" s="5" t="s">
        <v>66</v>
      </c>
      <c r="E1387" s="5" t="s">
        <v>29</v>
      </c>
      <c r="F1387" s="9">
        <v>88</v>
      </c>
      <c r="G1387" s="9">
        <v>977</v>
      </c>
      <c r="H1387" s="5" t="s">
        <v>20</v>
      </c>
      <c r="I1387" s="5" t="s">
        <v>3614</v>
      </c>
      <c r="J1387" s="12" t="str">
        <f>HYPERLINK("https://www.boe.es/gazeta/dias/1804/11/02/pdfs/GMD-1804-88.pdf#page=9","Abrir facsímil")</f>
        <v>Abrir facsímil</v>
      </c>
      <c r="K1387" s="15" t="s">
        <v>22</v>
      </c>
    </row>
    <row r="1388" spans="1:11" ht="42" customHeight="1">
      <c r="A1388" s="4" t="s">
        <v>3615</v>
      </c>
      <c r="B1388" s="5" t="s">
        <v>3616</v>
      </c>
      <c r="C1388" s="5" t="s">
        <v>27</v>
      </c>
      <c r="D1388" s="5" t="s">
        <v>28</v>
      </c>
      <c r="E1388" s="5" t="s">
        <v>91</v>
      </c>
      <c r="F1388" s="9">
        <v>72</v>
      </c>
      <c r="G1388" s="9">
        <v>807</v>
      </c>
      <c r="H1388" s="5" t="s">
        <v>20</v>
      </c>
      <c r="I1388" s="5" t="s">
        <v>3617</v>
      </c>
      <c r="J1388" s="12" t="str">
        <f>HYPERLINK("https://www.boe.es/gazeta/dias/1804/09/07/pdfs/GMD-1804-72.pdf#page=9","Abrir facsímil")</f>
        <v>Abrir facsímil</v>
      </c>
      <c r="K1388" s="15" t="s">
        <v>22</v>
      </c>
    </row>
    <row r="1389" spans="1:11" ht="42" customHeight="1">
      <c r="A1389" s="4" t="s">
        <v>3618</v>
      </c>
      <c r="B1389" s="5" t="s">
        <v>3619</v>
      </c>
      <c r="C1389" s="5" t="s">
        <v>65</v>
      </c>
      <c r="D1389" s="5" t="s">
        <v>66</v>
      </c>
      <c r="E1389" s="5" t="s">
        <v>67</v>
      </c>
      <c r="F1389" s="9">
        <v>59</v>
      </c>
      <c r="G1389" s="9">
        <v>654</v>
      </c>
      <c r="H1389" s="5" t="s">
        <v>20</v>
      </c>
      <c r="I1389" s="5" t="s">
        <v>3620</v>
      </c>
      <c r="J1389" s="12" t="str">
        <f>HYPERLINK("https://www.boe.es/gazeta/dias/1804/07/24/pdfs/GMD-1804-59.pdf#page=8","Abrir facsímil")</f>
        <v>Abrir facsímil</v>
      </c>
      <c r="K1389" s="15" t="s">
        <v>22</v>
      </c>
    </row>
    <row r="1390" spans="1:11" ht="42" customHeight="1">
      <c r="A1390" s="4" t="s">
        <v>3621</v>
      </c>
      <c r="B1390" s="5" t="s">
        <v>3622</v>
      </c>
      <c r="C1390" s="5" t="s">
        <v>27</v>
      </c>
      <c r="D1390" s="5" t="s">
        <v>28</v>
      </c>
      <c r="E1390" s="5" t="s">
        <v>29</v>
      </c>
      <c r="F1390" s="9">
        <v>88</v>
      </c>
      <c r="G1390" s="9">
        <v>977</v>
      </c>
      <c r="H1390" s="5" t="s">
        <v>20</v>
      </c>
      <c r="I1390" s="5" t="s">
        <v>3623</v>
      </c>
      <c r="J1390" s="12" t="str">
        <f>HYPERLINK("https://www.boe.es/gazeta/dias/1804/11/02/pdfs/GMD-1804-88.pdf#page=9","Abrir facsímil")</f>
        <v>Abrir facsímil</v>
      </c>
      <c r="K1390" s="15" t="s">
        <v>22</v>
      </c>
    </row>
    <row r="1391" spans="1:11" ht="42" customHeight="1">
      <c r="A1391" s="4" t="s">
        <v>3624</v>
      </c>
      <c r="B1391" s="5" t="s">
        <v>3625</v>
      </c>
      <c r="C1391" s="5" t="s">
        <v>65</v>
      </c>
      <c r="D1391" s="5" t="s">
        <v>66</v>
      </c>
      <c r="E1391" s="5" t="s">
        <v>87</v>
      </c>
      <c r="F1391" s="9">
        <v>9</v>
      </c>
      <c r="G1391" s="9">
        <v>96</v>
      </c>
      <c r="H1391" s="5" t="s">
        <v>20</v>
      </c>
      <c r="I1391" s="5" t="s">
        <v>3626</v>
      </c>
      <c r="J1391" s="12" t="str">
        <f>HYPERLINK("https://www.boe.es/gazeta/dias/1804/01/31/pdfs/GMD-1804-9.pdf#page=8","Abrir facsímil")</f>
        <v>Abrir facsímil</v>
      </c>
      <c r="K1391" s="15" t="s">
        <v>22</v>
      </c>
    </row>
    <row r="1392" spans="1:11" ht="42" customHeight="1">
      <c r="A1392" s="4" t="s">
        <v>3627</v>
      </c>
      <c r="B1392" s="5" t="s">
        <v>3628</v>
      </c>
      <c r="C1392" s="5" t="s">
        <v>65</v>
      </c>
      <c r="D1392" s="5" t="s">
        <v>66</v>
      </c>
      <c r="E1392" s="5" t="s">
        <v>1337</v>
      </c>
      <c r="F1392" s="9">
        <v>7</v>
      </c>
      <c r="G1392" s="9">
        <v>70</v>
      </c>
      <c r="H1392" s="5" t="s">
        <v>20</v>
      </c>
      <c r="I1392" s="5" t="s">
        <v>3629</v>
      </c>
      <c r="J1392" s="12" t="str">
        <f>HYPERLINK("https://www.boe.es/gazeta/dias/1804/01/24/pdfs/GMD-1804-7.pdf#page=10","Abrir facsímil")</f>
        <v>Abrir facsímil</v>
      </c>
      <c r="K1392" s="15" t="s">
        <v>22</v>
      </c>
    </row>
    <row r="1393" spans="1:11" ht="42" customHeight="1">
      <c r="A1393" s="4" t="s">
        <v>3630</v>
      </c>
      <c r="B1393" s="5" t="s">
        <v>3631</v>
      </c>
      <c r="C1393" s="5" t="s">
        <v>57</v>
      </c>
      <c r="D1393" s="5" t="s">
        <v>58</v>
      </c>
      <c r="E1393" s="5" t="s">
        <v>61</v>
      </c>
      <c r="F1393" s="9">
        <v>61</v>
      </c>
      <c r="G1393" s="9">
        <v>675</v>
      </c>
      <c r="H1393" s="5" t="s">
        <v>20</v>
      </c>
      <c r="I1393" s="5" t="s">
        <v>3632</v>
      </c>
      <c r="J1393" s="12" t="str">
        <f>HYPERLINK("https://www.boe.es/gazeta/dias/1804/07/31/pdfs/GMD-1804-61.pdf#page=5","Abrir facsímil")</f>
        <v>Abrir facsímil</v>
      </c>
      <c r="K1393" s="15" t="s">
        <v>22</v>
      </c>
    </row>
    <row r="1394" spans="1:11" ht="42" customHeight="1">
      <c r="A1394" s="4" t="s">
        <v>3633</v>
      </c>
      <c r="B1394" s="5" t="s">
        <v>3634</v>
      </c>
      <c r="C1394" s="5" t="s">
        <v>27</v>
      </c>
      <c r="D1394" s="5" t="s">
        <v>28</v>
      </c>
      <c r="E1394" s="5" t="s">
        <v>308</v>
      </c>
      <c r="F1394" s="9">
        <v>96</v>
      </c>
      <c r="G1394" s="9">
        <v>1068</v>
      </c>
      <c r="H1394" s="5" t="s">
        <v>20</v>
      </c>
      <c r="I1394" s="5" t="s">
        <v>3635</v>
      </c>
      <c r="J1394" s="12" t="str">
        <f>HYPERLINK("https://www.boe.es/gazeta/dias/1804/11/30/pdfs/GMD-1804-96.pdf#page=8","Abrir facsímil")</f>
        <v>Abrir facsímil</v>
      </c>
      <c r="K1394" s="15" t="s">
        <v>22</v>
      </c>
    </row>
    <row r="1395" spans="1:11" ht="42" customHeight="1">
      <c r="A1395" s="4" t="s">
        <v>3636</v>
      </c>
      <c r="B1395" s="5" t="s">
        <v>3637</v>
      </c>
      <c r="C1395" s="5" t="s">
        <v>17</v>
      </c>
      <c r="D1395" s="5" t="s">
        <v>18</v>
      </c>
      <c r="E1395" s="5" t="s">
        <v>29</v>
      </c>
      <c r="F1395" s="9">
        <v>88</v>
      </c>
      <c r="G1395" s="9">
        <v>978</v>
      </c>
      <c r="H1395" s="5" t="s">
        <v>20</v>
      </c>
      <c r="I1395" s="5" t="s">
        <v>3638</v>
      </c>
      <c r="J1395" s="12" t="str">
        <f>HYPERLINK("https://www.boe.es/gazeta/dias/1804/11/02/pdfs/GMD-1804-88.pdf#page=10","Abrir facsímil")</f>
        <v>Abrir facsímil</v>
      </c>
      <c r="K1395" s="15" t="s">
        <v>22</v>
      </c>
    </row>
    <row r="1396" spans="1:11" ht="42" customHeight="1">
      <c r="A1396" s="4" t="s">
        <v>3639</v>
      </c>
      <c r="B1396" s="5" t="s">
        <v>3640</v>
      </c>
      <c r="C1396" s="5" t="s">
        <v>27</v>
      </c>
      <c r="D1396" s="5" t="s">
        <v>28</v>
      </c>
      <c r="E1396" s="5" t="s">
        <v>339</v>
      </c>
      <c r="F1396" s="9">
        <v>94</v>
      </c>
      <c r="G1396" s="9">
        <v>1038</v>
      </c>
      <c r="H1396" s="5" t="s">
        <v>20</v>
      </c>
      <c r="I1396" s="5" t="s">
        <v>3641</v>
      </c>
      <c r="J1396" s="12" t="str">
        <f>HYPERLINK("https://www.boe.es/gazeta/dias/1804/11/23/pdfs/GMD-1804-94.pdf#page=6","Abrir facsímil")</f>
        <v>Abrir facsímil</v>
      </c>
      <c r="K1396" s="15" t="s">
        <v>22</v>
      </c>
    </row>
    <row r="1397" spans="1:11" ht="42" customHeight="1">
      <c r="A1397" s="4" t="s">
        <v>3642</v>
      </c>
      <c r="B1397" s="5" t="s">
        <v>3643</v>
      </c>
      <c r="C1397" s="5" t="s">
        <v>27</v>
      </c>
      <c r="D1397" s="5" t="s">
        <v>28</v>
      </c>
      <c r="E1397" s="5" t="s">
        <v>212</v>
      </c>
      <c r="F1397" s="9">
        <v>89</v>
      </c>
      <c r="G1397" s="9">
        <v>990</v>
      </c>
      <c r="H1397" s="5" t="s">
        <v>20</v>
      </c>
      <c r="I1397" s="5" t="s">
        <v>3644</v>
      </c>
      <c r="J1397" s="12" t="str">
        <f>HYPERLINK("https://www.boe.es/gazeta/dias/1804/11/06/pdfs/GMD-1804-89.pdf#page=10","Abrir facsímil")</f>
        <v>Abrir facsímil</v>
      </c>
      <c r="K1397" s="15" t="s">
        <v>22</v>
      </c>
    </row>
    <row r="1398" spans="1:11" ht="42" customHeight="1">
      <c r="A1398" s="4" t="s">
        <v>3645</v>
      </c>
      <c r="B1398" s="5" t="s">
        <v>3646</v>
      </c>
      <c r="C1398" s="5" t="s">
        <v>17</v>
      </c>
      <c r="D1398" s="5" t="s">
        <v>18</v>
      </c>
      <c r="E1398" s="5" t="s">
        <v>950</v>
      </c>
      <c r="F1398" s="9">
        <v>90</v>
      </c>
      <c r="G1398" s="9">
        <v>1000</v>
      </c>
      <c r="H1398" s="5" t="s">
        <v>20</v>
      </c>
      <c r="I1398" s="5" t="s">
        <v>3647</v>
      </c>
      <c r="J1398" s="12" t="str">
        <f>HYPERLINK("https://www.boe.es/gazeta/dias/1804/11/09/pdfs/GMD-1804-90.pdf#page=8","Abrir facsímil")</f>
        <v>Abrir facsímil</v>
      </c>
      <c r="K1398" s="15" t="s">
        <v>22</v>
      </c>
    </row>
    <row r="1399" spans="1:11" ht="42" customHeight="1">
      <c r="A1399" s="4" t="s">
        <v>3648</v>
      </c>
      <c r="B1399" s="5" t="s">
        <v>3649</v>
      </c>
      <c r="C1399" s="5" t="s">
        <v>27</v>
      </c>
      <c r="D1399" s="5" t="s">
        <v>28</v>
      </c>
      <c r="E1399" s="5" t="s">
        <v>191</v>
      </c>
      <c r="F1399" s="9">
        <v>101</v>
      </c>
      <c r="G1399" s="9">
        <v>1128</v>
      </c>
      <c r="H1399" s="5" t="s">
        <v>20</v>
      </c>
      <c r="I1399" s="5" t="s">
        <v>3650</v>
      </c>
      <c r="J1399" s="12" t="str">
        <f>HYPERLINK("https://www.boe.es/gazeta/dias/1804/12/18/pdfs/GMD-1804-101.pdf#page=8","Abrir facsímil")</f>
        <v>Abrir facsímil</v>
      </c>
      <c r="K1399" s="15" t="s">
        <v>22</v>
      </c>
    </row>
    <row r="1400" spans="1:11" ht="42" customHeight="1">
      <c r="A1400" s="4" t="s">
        <v>3651</v>
      </c>
      <c r="B1400" s="5" t="s">
        <v>3652</v>
      </c>
      <c r="C1400" s="5" t="s">
        <v>27</v>
      </c>
      <c r="D1400" s="5" t="s">
        <v>28</v>
      </c>
      <c r="E1400" s="5" t="s">
        <v>484</v>
      </c>
      <c r="F1400" s="9">
        <v>53</v>
      </c>
      <c r="G1400" s="9">
        <v>591</v>
      </c>
      <c r="H1400" s="5" t="s">
        <v>20</v>
      </c>
      <c r="I1400" s="5" t="s">
        <v>3653</v>
      </c>
      <c r="J1400" s="12" t="str">
        <f>HYPERLINK("https://www.boe.es/gazeta/dias/1804/07/03/pdfs/GMD-1804-53.pdf#page=9","Abrir facsímil")</f>
        <v>Abrir facsímil</v>
      </c>
      <c r="K1400" s="15" t="s">
        <v>22</v>
      </c>
    </row>
    <row r="1401" spans="1:11" ht="42" customHeight="1">
      <c r="A1401" s="4" t="s">
        <v>3654</v>
      </c>
      <c r="B1401" s="5" t="s">
        <v>3655</v>
      </c>
      <c r="C1401" s="5" t="s">
        <v>17</v>
      </c>
      <c r="D1401" s="5" t="s">
        <v>18</v>
      </c>
      <c r="E1401" s="5" t="s">
        <v>258</v>
      </c>
      <c r="F1401" s="9">
        <v>14</v>
      </c>
      <c r="G1401" s="9">
        <v>153</v>
      </c>
      <c r="H1401" s="5" t="s">
        <v>20</v>
      </c>
      <c r="I1401" s="5" t="s">
        <v>3656</v>
      </c>
      <c r="J1401" s="12" t="str">
        <f>HYPERLINK("https://www.boe.es/gazeta/dias/1804/02/17/pdfs/GMD-1804-14.pdf#page=9","Abrir facsímil")</f>
        <v>Abrir facsímil</v>
      </c>
      <c r="K1401" s="15" t="s">
        <v>22</v>
      </c>
    </row>
    <row r="1402" spans="1:11" ht="42" customHeight="1">
      <c r="A1402" s="4" t="s">
        <v>3657</v>
      </c>
      <c r="B1402" s="5" t="s">
        <v>3658</v>
      </c>
      <c r="C1402" s="5" t="s">
        <v>17</v>
      </c>
      <c r="D1402" s="5" t="s">
        <v>18</v>
      </c>
      <c r="E1402" s="5" t="s">
        <v>71</v>
      </c>
      <c r="F1402" s="9">
        <v>99</v>
      </c>
      <c r="G1402" s="9">
        <v>1107</v>
      </c>
      <c r="H1402" s="5" t="s">
        <v>20</v>
      </c>
      <c r="I1402" s="5" t="s">
        <v>3659</v>
      </c>
      <c r="J1402" s="12" t="str">
        <f>HYPERLINK("https://www.boe.es/gazeta/dias/1804/12/11/pdfs/GMD-1804-99.pdf#page=7","Abrir facsímil")</f>
        <v>Abrir facsímil</v>
      </c>
      <c r="K1402" s="15" t="s">
        <v>22</v>
      </c>
    </row>
    <row r="1403" spans="1:11" ht="42" customHeight="1">
      <c r="A1403" s="4" t="s">
        <v>3660</v>
      </c>
      <c r="B1403" s="5" t="s">
        <v>3661</v>
      </c>
      <c r="C1403" s="5" t="s">
        <v>27</v>
      </c>
      <c r="D1403" s="5" t="s">
        <v>28</v>
      </c>
      <c r="E1403" s="5" t="s">
        <v>466</v>
      </c>
      <c r="F1403" s="9">
        <v>76</v>
      </c>
      <c r="G1403" s="9">
        <v>849</v>
      </c>
      <c r="H1403" s="5" t="s">
        <v>20</v>
      </c>
      <c r="I1403" s="5" t="s">
        <v>3662</v>
      </c>
      <c r="J1403" s="12" t="str">
        <f>HYPERLINK("https://www.boe.es/gazeta/dias/1804/09/21/pdfs/GMD-1804-76.pdf#page=7","Abrir facsímil")</f>
        <v>Abrir facsímil</v>
      </c>
      <c r="K1403" s="15" t="s">
        <v>22</v>
      </c>
    </row>
    <row r="1404" spans="1:11" ht="42" customHeight="1">
      <c r="A1404" s="4" t="s">
        <v>3663</v>
      </c>
      <c r="B1404" s="5" t="s">
        <v>3664</v>
      </c>
      <c r="C1404" s="5" t="s">
        <v>65</v>
      </c>
      <c r="D1404" s="5" t="s">
        <v>66</v>
      </c>
      <c r="E1404" s="5" t="s">
        <v>163</v>
      </c>
      <c r="F1404" s="9">
        <v>70</v>
      </c>
      <c r="G1404" s="9">
        <v>784</v>
      </c>
      <c r="H1404" s="5" t="s">
        <v>20</v>
      </c>
      <c r="I1404" s="5" t="s">
        <v>3665</v>
      </c>
      <c r="J1404" s="12" t="str">
        <f>HYPERLINK("https://www.boe.es/gazeta/dias/1804/08/31/pdfs/GMD-1804-70.pdf#page=6","Abrir facsímil")</f>
        <v>Abrir facsímil</v>
      </c>
      <c r="K1404" s="15" t="s">
        <v>22</v>
      </c>
    </row>
    <row r="1405" spans="1:11" ht="42" customHeight="1">
      <c r="A1405" s="4" t="s">
        <v>3666</v>
      </c>
      <c r="B1405" s="5" t="s">
        <v>3667</v>
      </c>
      <c r="C1405" s="5" t="s">
        <v>65</v>
      </c>
      <c r="D1405" s="5" t="s">
        <v>66</v>
      </c>
      <c r="E1405" s="5" t="s">
        <v>490</v>
      </c>
      <c r="F1405" s="9">
        <v>100</v>
      </c>
      <c r="G1405" s="9">
        <v>1118</v>
      </c>
      <c r="H1405" s="5" t="s">
        <v>20</v>
      </c>
      <c r="I1405" s="5" t="s">
        <v>3668</v>
      </c>
      <c r="J1405" s="12" t="str">
        <f>HYPERLINK("https://www.boe.es/gazeta/dias/1804/12/14/pdfs/GMD-1804-100.pdf#page=10","Abrir facsímil")</f>
        <v>Abrir facsímil</v>
      </c>
      <c r="K1405" s="15" t="s">
        <v>22</v>
      </c>
    </row>
    <row r="1406" spans="1:11" ht="42" customHeight="1">
      <c r="A1406" s="4" t="s">
        <v>3669</v>
      </c>
      <c r="B1406" s="5" t="s">
        <v>3670</v>
      </c>
      <c r="C1406" s="5" t="s">
        <v>65</v>
      </c>
      <c r="D1406" s="5" t="s">
        <v>66</v>
      </c>
      <c r="E1406" s="5" t="s">
        <v>637</v>
      </c>
      <c r="F1406" s="9">
        <v>74</v>
      </c>
      <c r="G1406" s="9">
        <v>833</v>
      </c>
      <c r="H1406" s="5" t="s">
        <v>20</v>
      </c>
      <c r="I1406" s="5" t="s">
        <v>3671</v>
      </c>
      <c r="J1406" s="12" t="str">
        <f>HYPERLINK("https://www.boe.es/gazeta/dias/1804/09/14/pdfs/GMD-1804-74.pdf#page=11","Abrir facsímil")</f>
        <v>Abrir facsímil</v>
      </c>
      <c r="K1406" s="15" t="s">
        <v>22</v>
      </c>
    </row>
    <row r="1407" spans="1:11" ht="42" customHeight="1">
      <c r="A1407" s="4" t="s">
        <v>3669</v>
      </c>
      <c r="B1407" s="5" t="s">
        <v>3670</v>
      </c>
      <c r="C1407" s="5" t="s">
        <v>85</v>
      </c>
      <c r="D1407" s="5" t="s">
        <v>86</v>
      </c>
      <c r="E1407" s="5" t="s">
        <v>29</v>
      </c>
      <c r="F1407" s="9">
        <v>88</v>
      </c>
      <c r="G1407" s="9">
        <v>978</v>
      </c>
      <c r="H1407" s="5" t="s">
        <v>20</v>
      </c>
      <c r="I1407" s="5" t="s">
        <v>3672</v>
      </c>
      <c r="J1407" s="12" t="str">
        <f>HYPERLINK("https://www.boe.es/gazeta/dias/1804/11/02/pdfs/GMD-1804-88.pdf#page=10","Abrir facsímil")</f>
        <v>Abrir facsímil</v>
      </c>
      <c r="K1407" s="15" t="s">
        <v>22</v>
      </c>
    </row>
    <row r="1408" spans="1:11" ht="42" customHeight="1">
      <c r="A1408" s="4" t="s">
        <v>3669</v>
      </c>
      <c r="B1408" s="5" t="s">
        <v>3670</v>
      </c>
      <c r="C1408" s="5" t="s">
        <v>27</v>
      </c>
      <c r="D1408" s="5" t="s">
        <v>28</v>
      </c>
      <c r="E1408" s="5" t="s">
        <v>1020</v>
      </c>
      <c r="F1408" s="9">
        <v>103</v>
      </c>
      <c r="G1408" s="9">
        <v>1148</v>
      </c>
      <c r="H1408" s="5" t="s">
        <v>20</v>
      </c>
      <c r="I1408" s="5" t="s">
        <v>3673</v>
      </c>
      <c r="J1408" s="12" t="str">
        <f>HYPERLINK("https://www.boe.es/gazeta/dias/1804/12/25/pdfs/GMD-1804-103.pdf#page=8","Abrir facsímil")</f>
        <v>Abrir facsímil</v>
      </c>
      <c r="K1408" s="15" t="s">
        <v>22</v>
      </c>
    </row>
    <row r="1409" spans="1:11" ht="42" customHeight="1">
      <c r="A1409" s="4" t="s">
        <v>3669</v>
      </c>
      <c r="B1409" s="5" t="s">
        <v>3670</v>
      </c>
      <c r="C1409" s="5" t="s">
        <v>27</v>
      </c>
      <c r="D1409" s="5" t="s">
        <v>28</v>
      </c>
      <c r="E1409" s="5" t="s">
        <v>678</v>
      </c>
      <c r="F1409" s="9">
        <v>104</v>
      </c>
      <c r="G1409" s="9">
        <v>1163</v>
      </c>
      <c r="H1409" s="5" t="s">
        <v>20</v>
      </c>
      <c r="I1409" s="5" t="s">
        <v>3674</v>
      </c>
      <c r="J1409" s="12" t="str">
        <f>HYPERLINK("https://www.boe.es/gazeta/dias/1804/12/28/pdfs/GMD-1804-104.pdf#page=11","Abrir facsímil")</f>
        <v>Abrir facsímil</v>
      </c>
      <c r="K1409" s="15" t="s">
        <v>22</v>
      </c>
    </row>
    <row r="1410" spans="1:11" ht="42" customHeight="1">
      <c r="A1410" s="4" t="s">
        <v>3675</v>
      </c>
      <c r="B1410" s="5" t="s">
        <v>3676</v>
      </c>
      <c r="C1410" s="5" t="s">
        <v>27</v>
      </c>
      <c r="D1410" s="5" t="s">
        <v>28</v>
      </c>
      <c r="E1410" s="5" t="s">
        <v>155</v>
      </c>
      <c r="F1410" s="9">
        <v>92</v>
      </c>
      <c r="G1410" s="9">
        <v>1024</v>
      </c>
      <c r="H1410" s="5" t="s">
        <v>20</v>
      </c>
      <c r="I1410" s="5" t="s">
        <v>3677</v>
      </c>
      <c r="J1410" s="12" t="str">
        <f>HYPERLINK("https://www.boe.es/gazeta/dias/1804/11/16/pdfs/GMD-1804-92.pdf#page=12","Abrir facsímil")</f>
        <v>Abrir facsímil</v>
      </c>
      <c r="K1410" s="15" t="s">
        <v>22</v>
      </c>
    </row>
    <row r="1411" spans="1:11" ht="42" customHeight="1">
      <c r="A1411" s="4" t="s">
        <v>3678</v>
      </c>
      <c r="B1411" s="5" t="s">
        <v>3679</v>
      </c>
      <c r="C1411" s="5" t="s">
        <v>65</v>
      </c>
      <c r="D1411" s="5" t="s">
        <v>66</v>
      </c>
      <c r="E1411" s="5" t="s">
        <v>484</v>
      </c>
      <c r="F1411" s="9">
        <v>53</v>
      </c>
      <c r="G1411" s="9">
        <v>590</v>
      </c>
      <c r="H1411" s="5" t="s">
        <v>20</v>
      </c>
      <c r="I1411" s="5" t="s">
        <v>3680</v>
      </c>
      <c r="J1411" s="12" t="str">
        <f>HYPERLINK("https://www.boe.es/gazeta/dias/1804/07/03/pdfs/GMD-1804-53.pdf#page=8","Abrir facsímil")</f>
        <v>Abrir facsímil</v>
      </c>
      <c r="K1411" s="15" t="s">
        <v>22</v>
      </c>
    </row>
    <row r="1412" spans="1:11" ht="42" customHeight="1">
      <c r="A1412" s="4" t="s">
        <v>3681</v>
      </c>
      <c r="B1412" s="5" t="s">
        <v>3682</v>
      </c>
      <c r="C1412" s="5" t="s">
        <v>27</v>
      </c>
      <c r="D1412" s="5" t="s">
        <v>28</v>
      </c>
      <c r="E1412" s="5" t="s">
        <v>103</v>
      </c>
      <c r="F1412" s="9">
        <v>11</v>
      </c>
      <c r="G1412" s="9">
        <v>123</v>
      </c>
      <c r="H1412" s="5" t="s">
        <v>20</v>
      </c>
      <c r="I1412" s="5" t="s">
        <v>3683</v>
      </c>
      <c r="J1412" s="12" t="str">
        <f>HYPERLINK("https://www.boe.es/gazeta/dias/1804/02/07/pdfs/GMD-1804-11.pdf#page=11","Abrir facsímil")</f>
        <v>Abrir facsímil</v>
      </c>
      <c r="K1412" s="15" t="s">
        <v>22</v>
      </c>
    </row>
    <row r="1413" spans="1:11" ht="42" customHeight="1">
      <c r="A1413" s="4" t="s">
        <v>3684</v>
      </c>
      <c r="B1413" s="5" t="s">
        <v>3685</v>
      </c>
      <c r="C1413" s="5" t="s">
        <v>65</v>
      </c>
      <c r="D1413" s="5" t="s">
        <v>66</v>
      </c>
      <c r="E1413" s="5" t="s">
        <v>54</v>
      </c>
      <c r="F1413" s="9">
        <v>63</v>
      </c>
      <c r="G1413" s="9">
        <v>700</v>
      </c>
      <c r="H1413" s="5" t="s">
        <v>20</v>
      </c>
      <c r="I1413" s="5" t="s">
        <v>3686</v>
      </c>
      <c r="J1413" s="12" t="str">
        <f>HYPERLINK("https://www.boe.es/gazeta/dias/1804/08/07/pdfs/GMD-1804-63.pdf#page=10","Abrir facsímil")</f>
        <v>Abrir facsímil</v>
      </c>
      <c r="K1413" s="15" t="s">
        <v>22</v>
      </c>
    </row>
    <row r="1414" spans="1:11" ht="42" customHeight="1">
      <c r="A1414" s="4" t="s">
        <v>3687</v>
      </c>
      <c r="B1414" s="5" t="s">
        <v>3688</v>
      </c>
      <c r="C1414" s="5" t="s">
        <v>65</v>
      </c>
      <c r="D1414" s="5" t="s">
        <v>66</v>
      </c>
      <c r="E1414" s="5" t="s">
        <v>54</v>
      </c>
      <c r="F1414" s="9">
        <v>63</v>
      </c>
      <c r="G1414" s="9">
        <v>700</v>
      </c>
      <c r="H1414" s="5" t="s">
        <v>20</v>
      </c>
      <c r="I1414" s="5" t="s">
        <v>3689</v>
      </c>
      <c r="J1414" s="12" t="str">
        <f>HYPERLINK("https://www.boe.es/gazeta/dias/1804/08/07/pdfs/GMD-1804-63.pdf#page=10","Abrir facsímil")</f>
        <v>Abrir facsímil</v>
      </c>
      <c r="K1414" s="15" t="s">
        <v>22</v>
      </c>
    </row>
    <row r="1415" spans="1:11" ht="42" customHeight="1">
      <c r="A1415" s="4" t="s">
        <v>3690</v>
      </c>
      <c r="B1415" s="5" t="s">
        <v>3691</v>
      </c>
      <c r="C1415" s="5" t="s">
        <v>17</v>
      </c>
      <c r="D1415" s="5" t="s">
        <v>18</v>
      </c>
      <c r="E1415" s="5" t="s">
        <v>637</v>
      </c>
      <c r="F1415" s="9">
        <v>74</v>
      </c>
      <c r="G1415" s="9">
        <v>831</v>
      </c>
      <c r="H1415" s="5" t="s">
        <v>20</v>
      </c>
      <c r="I1415" s="5" t="s">
        <v>3692</v>
      </c>
      <c r="J1415" s="12" t="str">
        <f>HYPERLINK("https://www.boe.es/gazeta/dias/1804/09/14/pdfs/GMD-1804-74.pdf#page=9","Abrir facsímil")</f>
        <v>Abrir facsímil</v>
      </c>
      <c r="K1415" s="15" t="s">
        <v>22</v>
      </c>
    </row>
    <row r="1416" spans="1:11" ht="42" customHeight="1">
      <c r="A1416" s="4" t="s">
        <v>3693</v>
      </c>
      <c r="B1416" s="5" t="s">
        <v>3694</v>
      </c>
      <c r="C1416" s="5" t="s">
        <v>27</v>
      </c>
      <c r="D1416" s="5" t="s">
        <v>28</v>
      </c>
      <c r="E1416" s="5" t="s">
        <v>302</v>
      </c>
      <c r="F1416" s="9">
        <v>3</v>
      </c>
      <c r="G1416" s="9">
        <v>27</v>
      </c>
      <c r="H1416" s="5" t="s">
        <v>20</v>
      </c>
      <c r="I1416" s="5" t="s">
        <v>3695</v>
      </c>
      <c r="J1416" s="12" t="str">
        <f>HYPERLINK("https://www.boe.es/gazeta/dias/1804/01/10/pdfs/GMD-1804-3.pdf#page=7","Abrir facsímil")</f>
        <v>Abrir facsímil</v>
      </c>
      <c r="K1416" s="15" t="s">
        <v>22</v>
      </c>
    </row>
    <row r="1417" spans="1:11" ht="42" customHeight="1">
      <c r="A1417" s="4" t="s">
        <v>3693</v>
      </c>
      <c r="B1417" s="5" t="s">
        <v>3694</v>
      </c>
      <c r="C1417" s="5" t="s">
        <v>27</v>
      </c>
      <c r="D1417" s="5" t="s">
        <v>28</v>
      </c>
      <c r="E1417" s="5" t="s">
        <v>106</v>
      </c>
      <c r="F1417" s="9">
        <v>34</v>
      </c>
      <c r="G1417" s="9">
        <v>377</v>
      </c>
      <c r="H1417" s="5" t="s">
        <v>20</v>
      </c>
      <c r="I1417" s="5" t="s">
        <v>3696</v>
      </c>
      <c r="J1417" s="12" t="str">
        <f>HYPERLINK("https://www.boe.es/gazeta/dias/1804/04/27/pdfs/GMD-1804-34.pdf#page=7","Abrir facsímil")</f>
        <v>Abrir facsímil</v>
      </c>
      <c r="K1417" s="15" t="s">
        <v>22</v>
      </c>
    </row>
    <row r="1418" spans="1:11" ht="42" customHeight="1">
      <c r="A1418" s="4" t="s">
        <v>3693</v>
      </c>
      <c r="B1418" s="5" t="s">
        <v>3694</v>
      </c>
      <c r="C1418" s="5" t="s">
        <v>27</v>
      </c>
      <c r="D1418" s="5" t="s">
        <v>28</v>
      </c>
      <c r="E1418" s="5" t="s">
        <v>1278</v>
      </c>
      <c r="F1418" s="9">
        <v>37</v>
      </c>
      <c r="G1418" s="9">
        <v>413</v>
      </c>
      <c r="H1418" s="5" t="s">
        <v>20</v>
      </c>
      <c r="I1418" s="5" t="s">
        <v>3697</v>
      </c>
      <c r="J1418" s="12" t="str">
        <f>HYPERLINK("https://www.boe.es/gazeta/dias/1804/05/08/pdfs/GMD-1804-37.pdf#page=11","Abrir facsímil")</f>
        <v>Abrir facsímil</v>
      </c>
      <c r="K1418" s="15" t="s">
        <v>22</v>
      </c>
    </row>
    <row r="1419" spans="1:11" ht="42" customHeight="1">
      <c r="A1419" s="4" t="s">
        <v>3698</v>
      </c>
      <c r="B1419" s="5" t="s">
        <v>3699</v>
      </c>
      <c r="C1419" s="5" t="s">
        <v>85</v>
      </c>
      <c r="D1419" s="5" t="s">
        <v>86</v>
      </c>
      <c r="E1419" s="5" t="s">
        <v>199</v>
      </c>
      <c r="F1419" s="9">
        <v>46</v>
      </c>
      <c r="G1419" s="9">
        <v>513</v>
      </c>
      <c r="H1419" s="5" t="s">
        <v>20</v>
      </c>
      <c r="I1419" s="5" t="s">
        <v>3700</v>
      </c>
      <c r="J1419" s="12" t="str">
        <f>HYPERLINK("https://www.boe.es/gazeta/dias/1804/06/08/pdfs/GMD-1804-46.pdf#page=11","Abrir facsímil")</f>
        <v>Abrir facsímil</v>
      </c>
      <c r="K1419" s="15" t="s">
        <v>22</v>
      </c>
    </row>
    <row r="1420" spans="1:11" ht="42" customHeight="1">
      <c r="A1420" s="4" t="s">
        <v>3693</v>
      </c>
      <c r="B1420" s="5" t="s">
        <v>3694</v>
      </c>
      <c r="C1420" s="5" t="s">
        <v>65</v>
      </c>
      <c r="D1420" s="5" t="s">
        <v>66</v>
      </c>
      <c r="E1420" s="5" t="s">
        <v>132</v>
      </c>
      <c r="F1420" s="9">
        <v>52</v>
      </c>
      <c r="G1420" s="9">
        <v>574</v>
      </c>
      <c r="H1420" s="5" t="s">
        <v>20</v>
      </c>
      <c r="I1420" s="5" t="s">
        <v>3701</v>
      </c>
      <c r="J1420" s="12" t="str">
        <f>HYPERLINK("https://www.boe.es/gazeta/dias/1804/06/29/pdfs/GMD-1804-52.pdf#page=8","Abrir facsímil")</f>
        <v>Abrir facsímil</v>
      </c>
      <c r="K1420" s="15" t="s">
        <v>22</v>
      </c>
    </row>
    <row r="1421" spans="1:11" ht="42" customHeight="1">
      <c r="A1421" s="4" t="s">
        <v>3693</v>
      </c>
      <c r="B1421" s="5" t="s">
        <v>3694</v>
      </c>
      <c r="C1421" s="5" t="s">
        <v>27</v>
      </c>
      <c r="D1421" s="5" t="s">
        <v>28</v>
      </c>
      <c r="E1421" s="5" t="s">
        <v>67</v>
      </c>
      <c r="F1421" s="9">
        <v>59</v>
      </c>
      <c r="G1421" s="9">
        <v>654</v>
      </c>
      <c r="H1421" s="5" t="s">
        <v>20</v>
      </c>
      <c r="I1421" s="5" t="s">
        <v>3702</v>
      </c>
      <c r="J1421" s="12" t="str">
        <f>HYPERLINK("https://www.boe.es/gazeta/dias/1804/07/24/pdfs/GMD-1804-59.pdf#page=8","Abrir facsímil")</f>
        <v>Abrir facsímil</v>
      </c>
      <c r="K1421" s="15" t="s">
        <v>22</v>
      </c>
    </row>
    <row r="1422" spans="1:11" ht="42" customHeight="1">
      <c r="A1422" s="4" t="s">
        <v>3693</v>
      </c>
      <c r="B1422" s="5" t="s">
        <v>3694</v>
      </c>
      <c r="C1422" s="5" t="s">
        <v>27</v>
      </c>
      <c r="D1422" s="5" t="s">
        <v>28</v>
      </c>
      <c r="E1422" s="5" t="s">
        <v>19</v>
      </c>
      <c r="F1422" s="9">
        <v>60</v>
      </c>
      <c r="G1422" s="9">
        <v>669</v>
      </c>
      <c r="H1422" s="5" t="s">
        <v>20</v>
      </c>
      <c r="I1422" s="5" t="s">
        <v>3703</v>
      </c>
      <c r="J1422" s="12" t="str">
        <f>HYPERLINK("https://www.boe.es/gazeta/dias/1804/07/27/pdfs/GMD-1804-60.pdf#page=11","Abrir facsímil")</f>
        <v>Abrir facsímil</v>
      </c>
      <c r="K1422" s="15" t="s">
        <v>22</v>
      </c>
    </row>
    <row r="1423" spans="1:11" ht="42" customHeight="1">
      <c r="A1423" s="4" t="s">
        <v>3693</v>
      </c>
      <c r="B1423" s="5" t="s">
        <v>3694</v>
      </c>
      <c r="C1423" s="5" t="s">
        <v>27</v>
      </c>
      <c r="D1423" s="5" t="s">
        <v>28</v>
      </c>
      <c r="E1423" s="5" t="s">
        <v>367</v>
      </c>
      <c r="F1423" s="9">
        <v>64</v>
      </c>
      <c r="G1423" s="9">
        <v>718</v>
      </c>
      <c r="H1423" s="5" t="s">
        <v>20</v>
      </c>
      <c r="I1423" s="5" t="s">
        <v>3704</v>
      </c>
      <c r="J1423" s="12" t="str">
        <f>HYPERLINK("https://www.boe.es/gazeta/dias/1804/08/10/pdfs/GMD-1804-64.pdf#page=12","Abrir facsímil")</f>
        <v>Abrir facsímil</v>
      </c>
      <c r="K1423" s="15" t="s">
        <v>22</v>
      </c>
    </row>
    <row r="1424" spans="1:11" ht="42" customHeight="1">
      <c r="A1424" s="4" t="s">
        <v>3693</v>
      </c>
      <c r="B1424" s="5" t="s">
        <v>3694</v>
      </c>
      <c r="C1424" s="5" t="s">
        <v>27</v>
      </c>
      <c r="D1424" s="5" t="s">
        <v>28</v>
      </c>
      <c r="E1424" s="5" t="s">
        <v>216</v>
      </c>
      <c r="F1424" s="9">
        <v>67</v>
      </c>
      <c r="G1424" s="9">
        <v>752</v>
      </c>
      <c r="H1424" s="5" t="s">
        <v>20</v>
      </c>
      <c r="I1424" s="5" t="s">
        <v>3705</v>
      </c>
      <c r="J1424" s="12" t="str">
        <f>HYPERLINK("https://www.boe.es/gazeta/dias/1804/08/21/pdfs/GMD-1804-67.pdf#page=10","Abrir facsímil")</f>
        <v>Abrir facsímil</v>
      </c>
      <c r="K1424" s="15" t="s">
        <v>22</v>
      </c>
    </row>
    <row r="1425" spans="1:11" ht="42" customHeight="1">
      <c r="A1425" s="4" t="s">
        <v>3693</v>
      </c>
      <c r="B1425" s="5" t="s">
        <v>3694</v>
      </c>
      <c r="C1425" s="5" t="s">
        <v>65</v>
      </c>
      <c r="D1425" s="5" t="s">
        <v>66</v>
      </c>
      <c r="E1425" s="5" t="s">
        <v>216</v>
      </c>
      <c r="F1425" s="9">
        <v>67</v>
      </c>
      <c r="G1425" s="9">
        <v>753</v>
      </c>
      <c r="H1425" s="5" t="s">
        <v>20</v>
      </c>
      <c r="I1425" s="5" t="s">
        <v>3706</v>
      </c>
      <c r="J1425" s="12" t="str">
        <f>HYPERLINK("https://www.boe.es/gazeta/dias/1804/08/21/pdfs/GMD-1804-67.pdf#page=11","Abrir facsímil")</f>
        <v>Abrir facsímil</v>
      </c>
      <c r="K1425" s="15" t="s">
        <v>22</v>
      </c>
    </row>
    <row r="1426" spans="1:11" ht="42" customHeight="1">
      <c r="A1426" s="4" t="s">
        <v>3693</v>
      </c>
      <c r="B1426" s="5" t="s">
        <v>3694</v>
      </c>
      <c r="C1426" s="5" t="s">
        <v>27</v>
      </c>
      <c r="D1426" s="5" t="s">
        <v>28</v>
      </c>
      <c r="E1426" s="5" t="s">
        <v>637</v>
      </c>
      <c r="F1426" s="9">
        <v>74</v>
      </c>
      <c r="G1426" s="9">
        <v>832</v>
      </c>
      <c r="H1426" s="5" t="s">
        <v>20</v>
      </c>
      <c r="I1426" s="5" t="s">
        <v>3707</v>
      </c>
      <c r="J1426" s="12" t="str">
        <f>HYPERLINK("https://www.boe.es/gazeta/dias/1804/09/14/pdfs/GMD-1804-74.pdf#page=10","Abrir facsímil")</f>
        <v>Abrir facsímil</v>
      </c>
      <c r="K1426" s="15" t="s">
        <v>22</v>
      </c>
    </row>
    <row r="1427" spans="1:11" ht="42" customHeight="1">
      <c r="A1427" s="4" t="s">
        <v>3693</v>
      </c>
      <c r="B1427" s="5" t="s">
        <v>3694</v>
      </c>
      <c r="C1427" s="5" t="s">
        <v>27</v>
      </c>
      <c r="D1427" s="5" t="s">
        <v>28</v>
      </c>
      <c r="E1427" s="5" t="s">
        <v>736</v>
      </c>
      <c r="F1427" s="9">
        <v>83</v>
      </c>
      <c r="G1427" s="9">
        <v>919</v>
      </c>
      <c r="H1427" s="5" t="s">
        <v>20</v>
      </c>
      <c r="I1427" s="5" t="s">
        <v>3708</v>
      </c>
      <c r="J1427" s="12" t="str">
        <f>HYPERLINK("https://www.boe.es/gazeta/dias/1804/10/16/pdfs/GMD-1804-83.pdf#page=9","Abrir facsímil")</f>
        <v>Abrir facsímil</v>
      </c>
      <c r="K1427" s="15" t="s">
        <v>22</v>
      </c>
    </row>
    <row r="1428" spans="1:11" ht="42" customHeight="1">
      <c r="A1428" s="4" t="s">
        <v>3693</v>
      </c>
      <c r="B1428" s="5" t="s">
        <v>3694</v>
      </c>
      <c r="C1428" s="5" t="s">
        <v>85</v>
      </c>
      <c r="D1428" s="5" t="s">
        <v>86</v>
      </c>
      <c r="E1428" s="5" t="s">
        <v>339</v>
      </c>
      <c r="F1428" s="9">
        <v>94</v>
      </c>
      <c r="G1428" s="9">
        <v>1039</v>
      </c>
      <c r="H1428" s="5" t="s">
        <v>20</v>
      </c>
      <c r="I1428" s="5" t="s">
        <v>3709</v>
      </c>
      <c r="J1428" s="12" t="str">
        <f>HYPERLINK("https://www.boe.es/gazeta/dias/1804/11/23/pdfs/GMD-1804-94.pdf#page=7","Abrir facsímil")</f>
        <v>Abrir facsímil</v>
      </c>
      <c r="K1428" s="15" t="s">
        <v>22</v>
      </c>
    </row>
    <row r="1429" spans="1:11" ht="42" customHeight="1">
      <c r="A1429" s="4" t="s">
        <v>3693</v>
      </c>
      <c r="B1429" s="5" t="s">
        <v>3694</v>
      </c>
      <c r="C1429" s="5" t="s">
        <v>27</v>
      </c>
      <c r="D1429" s="5" t="s">
        <v>28</v>
      </c>
      <c r="E1429" s="5" t="s">
        <v>308</v>
      </c>
      <c r="F1429" s="9">
        <v>96</v>
      </c>
      <c r="G1429" s="9">
        <v>1068</v>
      </c>
      <c r="H1429" s="5" t="s">
        <v>20</v>
      </c>
      <c r="I1429" s="5" t="s">
        <v>3710</v>
      </c>
      <c r="J1429" s="12" t="str">
        <f>HYPERLINK("https://www.boe.es/gazeta/dias/1804/11/30/pdfs/GMD-1804-96.pdf#page=8","Abrir facsímil")</f>
        <v>Abrir facsímil</v>
      </c>
      <c r="K1429" s="15" t="s">
        <v>22</v>
      </c>
    </row>
    <row r="1430" spans="1:11" ht="42" customHeight="1">
      <c r="A1430" s="4" t="s">
        <v>3693</v>
      </c>
      <c r="B1430" s="5" t="s">
        <v>3694</v>
      </c>
      <c r="C1430" s="5" t="s">
        <v>27</v>
      </c>
      <c r="D1430" s="5" t="s">
        <v>28</v>
      </c>
      <c r="E1430" s="5" t="s">
        <v>71</v>
      </c>
      <c r="F1430" s="9">
        <v>99</v>
      </c>
      <c r="G1430" s="9">
        <v>1108</v>
      </c>
      <c r="H1430" s="5" t="s">
        <v>20</v>
      </c>
      <c r="I1430" s="5" t="s">
        <v>3711</v>
      </c>
      <c r="J1430" s="12" t="str">
        <f>HYPERLINK("https://www.boe.es/gazeta/dias/1804/12/11/pdfs/GMD-1804-99.pdf#page=8","Abrir facsímil")</f>
        <v>Abrir facsímil</v>
      </c>
      <c r="K1430" s="15" t="s">
        <v>22</v>
      </c>
    </row>
    <row r="1431" spans="1:11" ht="42" customHeight="1">
      <c r="A1431" s="4" t="s">
        <v>3693</v>
      </c>
      <c r="B1431" s="5" t="s">
        <v>3694</v>
      </c>
      <c r="C1431" s="5" t="s">
        <v>27</v>
      </c>
      <c r="D1431" s="5" t="s">
        <v>28</v>
      </c>
      <c r="E1431" s="5" t="s">
        <v>515</v>
      </c>
      <c r="F1431" s="9">
        <v>102</v>
      </c>
      <c r="G1431" s="9">
        <v>1139</v>
      </c>
      <c r="H1431" s="5" t="s">
        <v>20</v>
      </c>
      <c r="I1431" s="5" t="s">
        <v>3712</v>
      </c>
      <c r="J1431" s="12" t="str">
        <f>HYPERLINK("https://www.boe.es/gazeta/dias/1804/12/21/pdfs/GMD-1804-102.pdf#page=7","Abrir facsímil")</f>
        <v>Abrir facsímil</v>
      </c>
      <c r="K1431" s="15" t="s">
        <v>22</v>
      </c>
    </row>
    <row r="1432" spans="1:11" ht="42" customHeight="1">
      <c r="A1432" s="4" t="s">
        <v>3713</v>
      </c>
      <c r="B1432" s="5" t="s">
        <v>3714</v>
      </c>
      <c r="C1432" s="5" t="s">
        <v>27</v>
      </c>
      <c r="D1432" s="5" t="s">
        <v>28</v>
      </c>
      <c r="E1432" s="5" t="s">
        <v>1449</v>
      </c>
      <c r="F1432" s="9">
        <v>8</v>
      </c>
      <c r="G1432" s="9">
        <v>87</v>
      </c>
      <c r="H1432" s="5" t="s">
        <v>20</v>
      </c>
      <c r="I1432" s="5" t="s">
        <v>3715</v>
      </c>
      <c r="J1432" s="12" t="str">
        <f>HYPERLINK("https://www.boe.es/gazeta/dias/1804/01/27/pdfs/GMD-1804-8.pdf#page=11","Abrir facsímil")</f>
        <v>Abrir facsímil</v>
      </c>
      <c r="K1432" s="15" t="s">
        <v>22</v>
      </c>
    </row>
    <row r="1433" spans="1:11" ht="42" customHeight="1">
      <c r="A1433" s="4" t="s">
        <v>3713</v>
      </c>
      <c r="B1433" s="5" t="s">
        <v>3714</v>
      </c>
      <c r="C1433" s="5" t="s">
        <v>27</v>
      </c>
      <c r="D1433" s="5" t="s">
        <v>28</v>
      </c>
      <c r="E1433" s="5" t="s">
        <v>272</v>
      </c>
      <c r="F1433" s="9">
        <v>30</v>
      </c>
      <c r="G1433" s="9">
        <v>333</v>
      </c>
      <c r="H1433" s="5" t="s">
        <v>20</v>
      </c>
      <c r="I1433" s="5" t="s">
        <v>3716</v>
      </c>
      <c r="J1433" s="12" t="str">
        <f>HYPERLINK("https://www.boe.es/gazeta/dias/1804/04/13/pdfs/GMD-1804-30.pdf#page=11","Abrir facsímil")</f>
        <v>Abrir facsímil</v>
      </c>
      <c r="K1433" s="15" t="s">
        <v>22</v>
      </c>
    </row>
    <row r="1434" spans="1:11" ht="42" customHeight="1">
      <c r="A1434" s="4" t="s">
        <v>3713</v>
      </c>
      <c r="B1434" s="5" t="s">
        <v>3714</v>
      </c>
      <c r="C1434" s="5" t="s">
        <v>65</v>
      </c>
      <c r="D1434" s="5" t="s">
        <v>66</v>
      </c>
      <c r="E1434" s="5" t="s">
        <v>106</v>
      </c>
      <c r="F1434" s="9">
        <v>34</v>
      </c>
      <c r="G1434" s="9">
        <v>377</v>
      </c>
      <c r="H1434" s="5" t="s">
        <v>20</v>
      </c>
      <c r="I1434" s="5" t="s">
        <v>3717</v>
      </c>
      <c r="J1434" s="12" t="str">
        <f>HYPERLINK("https://www.boe.es/gazeta/dias/1804/04/27/pdfs/GMD-1804-34.pdf#page=7","Abrir facsímil")</f>
        <v>Abrir facsímil</v>
      </c>
      <c r="K1434" s="15" t="s">
        <v>22</v>
      </c>
    </row>
    <row r="1435" spans="1:11" ht="42" customHeight="1">
      <c r="A1435" s="4" t="s">
        <v>3713</v>
      </c>
      <c r="B1435" s="5" t="s">
        <v>3714</v>
      </c>
      <c r="C1435" s="5" t="s">
        <v>27</v>
      </c>
      <c r="D1435" s="5" t="s">
        <v>28</v>
      </c>
      <c r="E1435" s="5" t="s">
        <v>670</v>
      </c>
      <c r="F1435" s="9">
        <v>41</v>
      </c>
      <c r="G1435" s="9">
        <v>461</v>
      </c>
      <c r="H1435" s="5" t="s">
        <v>20</v>
      </c>
      <c r="I1435" s="5" t="s">
        <v>3718</v>
      </c>
      <c r="J1435" s="12" t="str">
        <f>HYPERLINK("https://www.boe.es/gazeta/dias/1804/05/22/pdfs/GMD-1804-41.pdf#page=11","Abrir facsímil")</f>
        <v>Abrir facsímil</v>
      </c>
      <c r="K1435" s="15" t="s">
        <v>22</v>
      </c>
    </row>
    <row r="1436" spans="1:11" ht="42" customHeight="1">
      <c r="A1436" s="4" t="s">
        <v>3713</v>
      </c>
      <c r="B1436" s="5" t="s">
        <v>3714</v>
      </c>
      <c r="C1436" s="5" t="s">
        <v>27</v>
      </c>
      <c r="D1436" s="5" t="s">
        <v>28</v>
      </c>
      <c r="E1436" s="5" t="s">
        <v>59</v>
      </c>
      <c r="F1436" s="9">
        <v>55</v>
      </c>
      <c r="G1436" s="9">
        <v>613</v>
      </c>
      <c r="H1436" s="5" t="s">
        <v>20</v>
      </c>
      <c r="I1436" s="5" t="s">
        <v>3719</v>
      </c>
      <c r="J1436" s="12" t="str">
        <f>HYPERLINK("https://www.boe.es/gazeta/dias/1804/07/10/pdfs/GMD-1804-55.pdf#page=11","Abrir facsímil")</f>
        <v>Abrir facsímil</v>
      </c>
      <c r="K1436" s="15" t="s">
        <v>22</v>
      </c>
    </row>
    <row r="1437" spans="1:11" ht="42" customHeight="1">
      <c r="A1437" s="4" t="s">
        <v>3713</v>
      </c>
      <c r="B1437" s="5" t="s">
        <v>3714</v>
      </c>
      <c r="C1437" s="5" t="s">
        <v>27</v>
      </c>
      <c r="D1437" s="5" t="s">
        <v>28</v>
      </c>
      <c r="E1437" s="5" t="s">
        <v>317</v>
      </c>
      <c r="F1437" s="9">
        <v>56</v>
      </c>
      <c r="G1437" s="9">
        <v>621</v>
      </c>
      <c r="H1437" s="5" t="s">
        <v>20</v>
      </c>
      <c r="I1437" s="5" t="s">
        <v>3720</v>
      </c>
      <c r="J1437" s="12" t="str">
        <f>HYPERLINK("https://www.boe.es/gazeta/dias/1804/07/13/pdfs/GMD-1804-56.pdf#page=7","Abrir facsímil")</f>
        <v>Abrir facsímil</v>
      </c>
      <c r="K1437" s="15" t="s">
        <v>22</v>
      </c>
    </row>
    <row r="1438" spans="1:11" ht="42" customHeight="1">
      <c r="A1438" s="4" t="s">
        <v>3713</v>
      </c>
      <c r="B1438" s="5" t="s">
        <v>3714</v>
      </c>
      <c r="C1438" s="5" t="s">
        <v>27</v>
      </c>
      <c r="D1438" s="5" t="s">
        <v>28</v>
      </c>
      <c r="E1438" s="5" t="s">
        <v>332</v>
      </c>
      <c r="F1438" s="9">
        <v>66</v>
      </c>
      <c r="G1438" s="9">
        <v>740</v>
      </c>
      <c r="H1438" s="5" t="s">
        <v>20</v>
      </c>
      <c r="I1438" s="5" t="s">
        <v>3721</v>
      </c>
      <c r="J1438" s="12" t="str">
        <f>HYPERLINK("https://www.boe.es/gazeta/dias/1804/08/17/pdfs/GMD-1804-66.pdf#page=6","Abrir facsímil")</f>
        <v>Abrir facsímil</v>
      </c>
      <c r="K1438" s="15" t="s">
        <v>22</v>
      </c>
    </row>
    <row r="1439" spans="1:11" ht="42" customHeight="1">
      <c r="A1439" s="4" t="s">
        <v>3713</v>
      </c>
      <c r="B1439" s="5" t="s">
        <v>3714</v>
      </c>
      <c r="C1439" s="5" t="s">
        <v>27</v>
      </c>
      <c r="D1439" s="5" t="s">
        <v>28</v>
      </c>
      <c r="E1439" s="5" t="s">
        <v>326</v>
      </c>
      <c r="F1439" s="9">
        <v>69</v>
      </c>
      <c r="G1439" s="9">
        <v>776</v>
      </c>
      <c r="H1439" s="5" t="s">
        <v>20</v>
      </c>
      <c r="I1439" s="5" t="s">
        <v>3722</v>
      </c>
      <c r="J1439" s="12" t="str">
        <f>HYPERLINK("https://www.boe.es/gazeta/dias/1804/08/28/pdfs/GMD-1804-69.pdf#page=10","Abrir facsímil")</f>
        <v>Abrir facsímil</v>
      </c>
      <c r="K1439" s="15" t="s">
        <v>22</v>
      </c>
    </row>
    <row r="1440" spans="1:11" ht="42" customHeight="1">
      <c r="A1440" s="4" t="s">
        <v>3713</v>
      </c>
      <c r="B1440" s="5" t="s">
        <v>3714</v>
      </c>
      <c r="C1440" s="5" t="s">
        <v>27</v>
      </c>
      <c r="D1440" s="5" t="s">
        <v>28</v>
      </c>
      <c r="E1440" s="5" t="s">
        <v>466</v>
      </c>
      <c r="F1440" s="9">
        <v>76</v>
      </c>
      <c r="G1440" s="9">
        <v>849</v>
      </c>
      <c r="H1440" s="5" t="s">
        <v>20</v>
      </c>
      <c r="I1440" s="5" t="s">
        <v>3723</v>
      </c>
      <c r="J1440" s="12" t="str">
        <f>HYPERLINK("https://www.boe.es/gazeta/dias/1804/09/21/pdfs/GMD-1804-76.pdf#page=7","Abrir facsímil")</f>
        <v>Abrir facsímil</v>
      </c>
      <c r="K1440" s="15" t="s">
        <v>22</v>
      </c>
    </row>
    <row r="1441" spans="1:11" ht="42" customHeight="1">
      <c r="A1441" s="4" t="s">
        <v>3713</v>
      </c>
      <c r="B1441" s="5" t="s">
        <v>3714</v>
      </c>
      <c r="C1441" s="5" t="s">
        <v>27</v>
      </c>
      <c r="D1441" s="5" t="s">
        <v>28</v>
      </c>
      <c r="E1441" s="5" t="s">
        <v>251</v>
      </c>
      <c r="F1441" s="9">
        <v>79</v>
      </c>
      <c r="G1441" s="9">
        <v>881</v>
      </c>
      <c r="H1441" s="5" t="s">
        <v>20</v>
      </c>
      <c r="I1441" s="5" t="s">
        <v>3724</v>
      </c>
      <c r="J1441" s="12" t="str">
        <f>HYPERLINK("https://www.boe.es/gazeta/dias/1804/10/02/pdfs/GMD-1804-79.pdf#page=11","Abrir facsímil")</f>
        <v>Abrir facsímil</v>
      </c>
      <c r="K1441" s="15" t="s">
        <v>22</v>
      </c>
    </row>
    <row r="1442" spans="1:11" ht="42" customHeight="1">
      <c r="A1442" s="4" t="s">
        <v>3713</v>
      </c>
      <c r="B1442" s="5" t="s">
        <v>3714</v>
      </c>
      <c r="C1442" s="5" t="s">
        <v>198</v>
      </c>
      <c r="D1442" s="5" t="s">
        <v>66</v>
      </c>
      <c r="E1442" s="5" t="s">
        <v>143</v>
      </c>
      <c r="F1442" s="9">
        <v>87</v>
      </c>
      <c r="G1442" s="9">
        <v>967</v>
      </c>
      <c r="H1442" s="5" t="s">
        <v>20</v>
      </c>
      <c r="I1442" s="5" t="s">
        <v>3725</v>
      </c>
      <c r="J1442" s="12" t="str">
        <f>HYPERLINK("https://www.boe.es/gazeta/dias/1804/10/30/pdfs/GMD-1804-87.pdf#page=11","Abrir facsímil")</f>
        <v>Abrir facsímil</v>
      </c>
      <c r="K1442" s="15" t="s">
        <v>22</v>
      </c>
    </row>
    <row r="1443" spans="1:11" ht="42" customHeight="1">
      <c r="A1443" s="4" t="s">
        <v>3713</v>
      </c>
      <c r="B1443" s="5" t="s">
        <v>3714</v>
      </c>
      <c r="C1443" s="5" t="s">
        <v>27</v>
      </c>
      <c r="D1443" s="5" t="s">
        <v>28</v>
      </c>
      <c r="E1443" s="5" t="s">
        <v>950</v>
      </c>
      <c r="F1443" s="9">
        <v>90</v>
      </c>
      <c r="G1443" s="9">
        <v>1000</v>
      </c>
      <c r="H1443" s="5" t="s">
        <v>20</v>
      </c>
      <c r="I1443" s="5" t="s">
        <v>3726</v>
      </c>
      <c r="J1443" s="12" t="str">
        <f>HYPERLINK("https://www.boe.es/gazeta/dias/1804/11/09/pdfs/GMD-1804-90.pdf#page=8","Abrir facsímil")</f>
        <v>Abrir facsímil</v>
      </c>
      <c r="K1443" s="15" t="s">
        <v>22</v>
      </c>
    </row>
    <row r="1444" spans="1:11" ht="42" customHeight="1">
      <c r="A1444" s="4" t="s">
        <v>3713</v>
      </c>
      <c r="B1444" s="5" t="s">
        <v>3714</v>
      </c>
      <c r="C1444" s="5" t="s">
        <v>27</v>
      </c>
      <c r="D1444" s="5" t="s">
        <v>28</v>
      </c>
      <c r="E1444" s="5" t="s">
        <v>23</v>
      </c>
      <c r="F1444" s="9">
        <v>91</v>
      </c>
      <c r="G1444" s="9">
        <v>1011</v>
      </c>
      <c r="H1444" s="5" t="s">
        <v>20</v>
      </c>
      <c r="I1444" s="5" t="s">
        <v>3727</v>
      </c>
      <c r="J1444" s="12" t="str">
        <f>HYPERLINK("https://www.boe.es/gazeta/dias/1804/11/13/pdfs/GMD-1804-91.pdf#page=11","Abrir facsímil")</f>
        <v>Abrir facsímil</v>
      </c>
      <c r="K1444" s="15" t="s">
        <v>22</v>
      </c>
    </row>
    <row r="1445" spans="1:11" ht="42" customHeight="1">
      <c r="A1445" s="4" t="s">
        <v>3713</v>
      </c>
      <c r="B1445" s="5" t="s">
        <v>3714</v>
      </c>
      <c r="C1445" s="5" t="s">
        <v>27</v>
      </c>
      <c r="D1445" s="5" t="s">
        <v>28</v>
      </c>
      <c r="E1445" s="5" t="s">
        <v>308</v>
      </c>
      <c r="F1445" s="9">
        <v>96</v>
      </c>
      <c r="G1445" s="9">
        <v>1071</v>
      </c>
      <c r="H1445" s="5" t="s">
        <v>20</v>
      </c>
      <c r="I1445" s="5" t="s">
        <v>3728</v>
      </c>
      <c r="J1445" s="12" t="str">
        <f>HYPERLINK("https://www.boe.es/gazeta/dias/1804/11/30/pdfs/GMD-1804-96.pdf#page=11","Abrir facsímil")</f>
        <v>Abrir facsímil</v>
      </c>
      <c r="K1445" s="15" t="s">
        <v>22</v>
      </c>
    </row>
    <row r="1446" spans="1:11" ht="42" customHeight="1">
      <c r="A1446" s="4" t="s">
        <v>3713</v>
      </c>
      <c r="B1446" s="5" t="s">
        <v>3714</v>
      </c>
      <c r="C1446" s="5" t="s">
        <v>27</v>
      </c>
      <c r="D1446" s="5" t="s">
        <v>28</v>
      </c>
      <c r="E1446" s="5" t="s">
        <v>208</v>
      </c>
      <c r="F1446" s="9">
        <v>97</v>
      </c>
      <c r="G1446" s="9">
        <v>1084</v>
      </c>
      <c r="H1446" s="5" t="s">
        <v>20</v>
      </c>
      <c r="I1446" s="5" t="s">
        <v>3729</v>
      </c>
      <c r="J1446" s="12" t="str">
        <f>HYPERLINK("https://www.boe.es/gazeta/dias/1804/12/04/pdfs/GMD-1804-97.pdf#page=12","Abrir facsímil")</f>
        <v>Abrir facsímil</v>
      </c>
      <c r="K1446" s="15" t="s">
        <v>22</v>
      </c>
    </row>
    <row r="1447" spans="1:11" ht="42" customHeight="1">
      <c r="A1447" s="4" t="s">
        <v>3730</v>
      </c>
      <c r="B1447" s="5" t="s">
        <v>3731</v>
      </c>
      <c r="C1447" s="5" t="s">
        <v>17</v>
      </c>
      <c r="D1447" s="5" t="s">
        <v>18</v>
      </c>
      <c r="E1447" s="5" t="s">
        <v>699</v>
      </c>
      <c r="F1447" s="9">
        <v>2</v>
      </c>
      <c r="G1447" s="9">
        <v>19</v>
      </c>
      <c r="H1447" s="5" t="s">
        <v>20</v>
      </c>
      <c r="I1447" s="5" t="s">
        <v>3732</v>
      </c>
      <c r="J1447" s="12" t="str">
        <f>HYPERLINK("https://www.boe.es/gazeta/dias/1804/01/06/pdfs/GMD-1804-2.pdf#page=7","Abrir facsímil")</f>
        <v>Abrir facsímil</v>
      </c>
      <c r="K1447" s="15" t="s">
        <v>22</v>
      </c>
    </row>
    <row r="1448" spans="1:11" ht="42" customHeight="1">
      <c r="A1448" s="4" t="s">
        <v>3730</v>
      </c>
      <c r="B1448" s="5" t="s">
        <v>3731</v>
      </c>
      <c r="C1448" s="5" t="s">
        <v>17</v>
      </c>
      <c r="D1448" s="5" t="s">
        <v>18</v>
      </c>
      <c r="E1448" s="5" t="s">
        <v>91</v>
      </c>
      <c r="F1448" s="9">
        <v>72</v>
      </c>
      <c r="G1448" s="9">
        <v>807</v>
      </c>
      <c r="H1448" s="5" t="s">
        <v>20</v>
      </c>
      <c r="I1448" s="5" t="s">
        <v>3733</v>
      </c>
      <c r="J1448" s="12" t="str">
        <f>HYPERLINK("https://www.boe.es/gazeta/dias/1804/09/07/pdfs/GMD-1804-72.pdf#page=9","Abrir facsímil")</f>
        <v>Abrir facsímil</v>
      </c>
      <c r="K1448" s="15" t="s">
        <v>22</v>
      </c>
    </row>
    <row r="1449" spans="1:11" ht="42" customHeight="1">
      <c r="A1449" s="4" t="s">
        <v>3734</v>
      </c>
      <c r="B1449" s="5" t="s">
        <v>3735</v>
      </c>
      <c r="C1449" s="5" t="s">
        <v>27</v>
      </c>
      <c r="D1449" s="5" t="s">
        <v>28</v>
      </c>
      <c r="E1449" s="5" t="s">
        <v>709</v>
      </c>
      <c r="F1449" s="9">
        <v>82</v>
      </c>
      <c r="G1449" s="9">
        <v>907</v>
      </c>
      <c r="H1449" s="5" t="s">
        <v>20</v>
      </c>
      <c r="I1449" s="5" t="s">
        <v>3736</v>
      </c>
      <c r="J1449" s="12" t="str">
        <f>HYPERLINK("https://www.boe.es/gazeta/dias/1804/10/12/pdfs/GMD-1804-82.pdf#page=9","Abrir facsímil")</f>
        <v>Abrir facsímil</v>
      </c>
      <c r="K1449" s="15" t="s">
        <v>22</v>
      </c>
    </row>
    <row r="1450" spans="1:11" ht="42" customHeight="1">
      <c r="A1450" s="4" t="s">
        <v>3737</v>
      </c>
      <c r="B1450" s="5" t="s">
        <v>3738</v>
      </c>
      <c r="C1450" s="5" t="s">
        <v>27</v>
      </c>
      <c r="D1450" s="5" t="s">
        <v>28</v>
      </c>
      <c r="E1450" s="5" t="s">
        <v>666</v>
      </c>
      <c r="F1450" s="9">
        <v>57</v>
      </c>
      <c r="G1450" s="9">
        <v>632</v>
      </c>
      <c r="H1450" s="5" t="s">
        <v>20</v>
      </c>
      <c r="I1450" s="5" t="s">
        <v>3739</v>
      </c>
      <c r="J1450" s="12" t="str">
        <f>HYPERLINK("https://www.boe.es/gazeta/dias/1804/07/17/pdfs/GMD-1804-57.pdf#page=10","Abrir facsímil")</f>
        <v>Abrir facsímil</v>
      </c>
      <c r="K1450" s="15" t="s">
        <v>22</v>
      </c>
    </row>
    <row r="1451" spans="1:11" ht="42" customHeight="1">
      <c r="A1451" s="4" t="s">
        <v>3740</v>
      </c>
      <c r="B1451" s="5" t="s">
        <v>3741</v>
      </c>
      <c r="C1451" s="5" t="s">
        <v>17</v>
      </c>
      <c r="D1451" s="5" t="s">
        <v>18</v>
      </c>
      <c r="E1451" s="5" t="s">
        <v>132</v>
      </c>
      <c r="F1451" s="9">
        <v>52</v>
      </c>
      <c r="G1451" s="9">
        <v>575</v>
      </c>
      <c r="H1451" s="5" t="s">
        <v>20</v>
      </c>
      <c r="I1451" s="5" t="s">
        <v>3742</v>
      </c>
      <c r="J1451" s="12" t="str">
        <f>HYPERLINK("https://www.boe.es/gazeta/dias/1804/06/29/pdfs/GMD-1804-52.pdf#page=9","Abrir facsímil")</f>
        <v>Abrir facsímil</v>
      </c>
      <c r="K1451" s="15" t="s">
        <v>22</v>
      </c>
    </row>
    <row r="1452" spans="1:11" ht="42" customHeight="1">
      <c r="A1452" s="4" t="s">
        <v>3743</v>
      </c>
      <c r="B1452" s="5" t="s">
        <v>3744</v>
      </c>
      <c r="C1452" s="5" t="s">
        <v>27</v>
      </c>
      <c r="D1452" s="5" t="s">
        <v>28</v>
      </c>
      <c r="E1452" s="5" t="s">
        <v>132</v>
      </c>
      <c r="F1452" s="9">
        <v>52</v>
      </c>
      <c r="G1452" s="9">
        <v>576</v>
      </c>
      <c r="H1452" s="5" t="s">
        <v>20</v>
      </c>
      <c r="I1452" s="5" t="s">
        <v>3745</v>
      </c>
      <c r="J1452" s="12" t="str">
        <f>HYPERLINK("https://www.boe.es/gazeta/dias/1804/06/29/pdfs/GMD-1804-52.pdf#page=10","Abrir facsímil")</f>
        <v>Abrir facsímil</v>
      </c>
      <c r="K1452" s="15" t="s">
        <v>22</v>
      </c>
    </row>
    <row r="1453" spans="1:11" ht="42" customHeight="1">
      <c r="A1453" s="4" t="s">
        <v>3746</v>
      </c>
      <c r="B1453" s="5" t="s">
        <v>3747</v>
      </c>
      <c r="C1453" s="5" t="s">
        <v>27</v>
      </c>
      <c r="D1453" s="5" t="s">
        <v>28</v>
      </c>
      <c r="E1453" s="5" t="s">
        <v>33</v>
      </c>
      <c r="F1453" s="9">
        <v>48</v>
      </c>
      <c r="G1453" s="9">
        <v>537</v>
      </c>
      <c r="H1453" s="5" t="s">
        <v>20</v>
      </c>
      <c r="I1453" s="5" t="s">
        <v>3748</v>
      </c>
      <c r="J1453" s="12" t="str">
        <f>HYPERLINK("https://www.boe.es/gazeta/dias/1804/06/15/pdfs/GMD-1804-48.pdf#page=7","Abrir facsímil")</f>
        <v>Abrir facsímil</v>
      </c>
      <c r="K1453" s="15" t="s">
        <v>22</v>
      </c>
    </row>
    <row r="1454" spans="1:11" ht="42" customHeight="1">
      <c r="A1454" s="4" t="s">
        <v>3749</v>
      </c>
      <c r="B1454" s="5" t="s">
        <v>3750</v>
      </c>
      <c r="C1454" s="5" t="s">
        <v>262</v>
      </c>
      <c r="D1454" s="5" t="s">
        <v>263</v>
      </c>
      <c r="E1454" s="5" t="s">
        <v>398</v>
      </c>
      <c r="F1454" s="9">
        <v>22</v>
      </c>
      <c r="G1454" s="9">
        <v>250</v>
      </c>
      <c r="H1454" s="5" t="s">
        <v>20</v>
      </c>
      <c r="I1454" s="5" t="s">
        <v>3751</v>
      </c>
      <c r="J1454" s="12" t="str">
        <f>HYPERLINK("https://www.boe.es/gazeta/dias/1804/03/16/pdfs/GMD-C-1804-22.pdf#page=2","Abrir facsímil")</f>
        <v>Abrir facsímil</v>
      </c>
      <c r="K1454" s="15" t="s">
        <v>22</v>
      </c>
    </row>
    <row r="1455" spans="1:11" ht="42" customHeight="1">
      <c r="A1455" s="4" t="s">
        <v>3749</v>
      </c>
      <c r="B1455" s="5" t="s">
        <v>3750</v>
      </c>
      <c r="C1455" s="5" t="s">
        <v>27</v>
      </c>
      <c r="D1455" s="5" t="s">
        <v>28</v>
      </c>
      <c r="E1455" s="5" t="s">
        <v>538</v>
      </c>
      <c r="F1455" s="9">
        <v>27</v>
      </c>
      <c r="G1455" s="9">
        <v>300</v>
      </c>
      <c r="H1455" s="5" t="s">
        <v>20</v>
      </c>
      <c r="I1455" s="5" t="s">
        <v>3752</v>
      </c>
      <c r="J1455" s="12" t="str">
        <f>HYPERLINK("https://www.boe.es/gazeta/dias/1804/04/03/pdfs/GMD-1804-27.pdf#page=6","Abrir facsímil")</f>
        <v>Abrir facsímil</v>
      </c>
      <c r="K1455" s="15" t="s">
        <v>22</v>
      </c>
    </row>
    <row r="1456" spans="1:11" ht="42" customHeight="1">
      <c r="A1456" s="4" t="s">
        <v>3753</v>
      </c>
      <c r="B1456" s="5" t="s">
        <v>3754</v>
      </c>
      <c r="C1456" s="5" t="s">
        <v>27</v>
      </c>
      <c r="D1456" s="5" t="s">
        <v>28</v>
      </c>
      <c r="E1456" s="5" t="s">
        <v>308</v>
      </c>
      <c r="F1456" s="9">
        <v>96</v>
      </c>
      <c r="G1456" s="9">
        <v>1068</v>
      </c>
      <c r="H1456" s="5" t="s">
        <v>20</v>
      </c>
      <c r="I1456" s="5" t="s">
        <v>3755</v>
      </c>
      <c r="J1456" s="12" t="str">
        <f>HYPERLINK("https://www.boe.es/gazeta/dias/1804/11/30/pdfs/GMD-1804-96.pdf#page=8","Abrir facsímil")</f>
        <v>Abrir facsímil</v>
      </c>
      <c r="K1456" s="15" t="s">
        <v>22</v>
      </c>
    </row>
    <row r="1457" spans="1:11" ht="42" customHeight="1">
      <c r="A1457" s="4" t="s">
        <v>3756</v>
      </c>
      <c r="B1457" s="5" t="s">
        <v>3757</v>
      </c>
      <c r="C1457" s="5" t="s">
        <v>65</v>
      </c>
      <c r="D1457" s="5" t="s">
        <v>66</v>
      </c>
      <c r="E1457" s="5" t="s">
        <v>29</v>
      </c>
      <c r="F1457" s="9">
        <v>88</v>
      </c>
      <c r="G1457" s="9">
        <v>977</v>
      </c>
      <c r="H1457" s="5" t="s">
        <v>20</v>
      </c>
      <c r="I1457" s="5" t="s">
        <v>3758</v>
      </c>
      <c r="J1457" s="12" t="str">
        <f>HYPERLINK("https://www.boe.es/gazeta/dias/1804/11/02/pdfs/GMD-1804-88.pdf#page=9","Abrir facsímil")</f>
        <v>Abrir facsímil</v>
      </c>
      <c r="K1457" s="15" t="s">
        <v>22</v>
      </c>
    </row>
    <row r="1458" spans="1:11" ht="42" customHeight="1">
      <c r="A1458" s="4" t="s">
        <v>3759</v>
      </c>
      <c r="B1458" s="5" t="s">
        <v>3760</v>
      </c>
      <c r="C1458" s="5" t="s">
        <v>17</v>
      </c>
      <c r="D1458" s="5" t="s">
        <v>18</v>
      </c>
      <c r="E1458" s="5" t="s">
        <v>794</v>
      </c>
      <c r="F1458" s="9">
        <v>42</v>
      </c>
      <c r="G1458" s="9">
        <v>471</v>
      </c>
      <c r="H1458" s="5" t="s">
        <v>20</v>
      </c>
      <c r="I1458" s="5" t="s">
        <v>3761</v>
      </c>
      <c r="J1458" s="12" t="str">
        <f>HYPERLINK("https://www.boe.es/gazeta/dias/1804/05/25/pdfs/GMD-1804-42.pdf#page=9","Abrir facsímil")</f>
        <v>Abrir facsímil</v>
      </c>
      <c r="K1458" s="15" t="s">
        <v>22</v>
      </c>
    </row>
    <row r="1459" spans="1:11" ht="42" customHeight="1">
      <c r="A1459" s="4" t="s">
        <v>3762</v>
      </c>
      <c r="B1459" s="5" t="s">
        <v>3763</v>
      </c>
      <c r="C1459" s="5" t="s">
        <v>57</v>
      </c>
      <c r="D1459" s="5" t="s">
        <v>58</v>
      </c>
      <c r="E1459" s="5" t="s">
        <v>87</v>
      </c>
      <c r="F1459" s="9">
        <v>9</v>
      </c>
      <c r="G1459" s="9">
        <v>91</v>
      </c>
      <c r="H1459" s="5" t="s">
        <v>20</v>
      </c>
      <c r="I1459" s="5" t="s">
        <v>3764</v>
      </c>
      <c r="J1459" s="12" t="str">
        <f>HYPERLINK("https://www.boe.es/gazeta/dias/1804/01/31/pdfs/GMD-1804-9.pdf#page=3","Abrir facsímil")</f>
        <v>Abrir facsímil</v>
      </c>
      <c r="K1459" s="15" t="s">
        <v>22</v>
      </c>
    </row>
    <row r="1460" spans="1:11" ht="42" customHeight="1">
      <c r="A1460" s="4" t="s">
        <v>3765</v>
      </c>
      <c r="B1460" s="5" t="s">
        <v>3766</v>
      </c>
      <c r="C1460" s="5" t="s">
        <v>27</v>
      </c>
      <c r="D1460" s="5" t="s">
        <v>28</v>
      </c>
      <c r="E1460" s="5" t="s">
        <v>111</v>
      </c>
      <c r="F1460" s="9">
        <v>40</v>
      </c>
      <c r="G1460" s="9">
        <v>450</v>
      </c>
      <c r="H1460" s="5" t="s">
        <v>20</v>
      </c>
      <c r="I1460" s="5" t="s">
        <v>3767</v>
      </c>
      <c r="J1460" s="12" t="str">
        <f>HYPERLINK("https://www.boe.es/gazeta/dias/1804/05/18/pdfs/GMD-1804-40.pdf#page=12","Abrir facsímil")</f>
        <v>Abrir facsímil</v>
      </c>
      <c r="K1460" s="15" t="s">
        <v>22</v>
      </c>
    </row>
    <row r="1461" spans="1:11" ht="42" customHeight="1">
      <c r="A1461" s="4" t="s">
        <v>3765</v>
      </c>
      <c r="B1461" s="5" t="s">
        <v>3766</v>
      </c>
      <c r="C1461" s="5" t="s">
        <v>27</v>
      </c>
      <c r="D1461" s="5" t="s">
        <v>28</v>
      </c>
      <c r="E1461" s="5" t="s">
        <v>132</v>
      </c>
      <c r="F1461" s="9">
        <v>52</v>
      </c>
      <c r="G1461" s="9">
        <v>575</v>
      </c>
      <c r="H1461" s="5" t="s">
        <v>20</v>
      </c>
      <c r="I1461" s="5" t="s">
        <v>3768</v>
      </c>
      <c r="J1461" s="12" t="str">
        <f>HYPERLINK("https://www.boe.es/gazeta/dias/1804/06/29/pdfs/GMD-1804-52.pdf#page=9","Abrir facsímil")</f>
        <v>Abrir facsímil</v>
      </c>
      <c r="K1461" s="15" t="s">
        <v>22</v>
      </c>
    </row>
    <row r="1462" spans="1:11" ht="42" customHeight="1">
      <c r="A1462" s="4" t="s">
        <v>3765</v>
      </c>
      <c r="B1462" s="5" t="s">
        <v>3766</v>
      </c>
      <c r="C1462" s="5" t="s">
        <v>27</v>
      </c>
      <c r="D1462" s="5" t="s">
        <v>28</v>
      </c>
      <c r="E1462" s="5" t="s">
        <v>132</v>
      </c>
      <c r="F1462" s="9">
        <v>52</v>
      </c>
      <c r="G1462" s="9">
        <v>576</v>
      </c>
      <c r="H1462" s="5" t="s">
        <v>20</v>
      </c>
      <c r="I1462" s="5" t="s">
        <v>3769</v>
      </c>
      <c r="J1462" s="12" t="str">
        <f>HYPERLINK("https://www.boe.es/gazeta/dias/1804/06/29/pdfs/GMD-1804-52.pdf#page=10","Abrir facsímil")</f>
        <v>Abrir facsímil</v>
      </c>
      <c r="K1462" s="15" t="s">
        <v>22</v>
      </c>
    </row>
    <row r="1463" spans="1:11" ht="42" customHeight="1">
      <c r="A1463" s="4" t="s">
        <v>3765</v>
      </c>
      <c r="B1463" s="5" t="s">
        <v>3766</v>
      </c>
      <c r="C1463" s="5" t="s">
        <v>65</v>
      </c>
      <c r="D1463" s="5" t="s">
        <v>66</v>
      </c>
      <c r="E1463" s="5" t="s">
        <v>19</v>
      </c>
      <c r="F1463" s="9">
        <v>60</v>
      </c>
      <c r="G1463" s="9">
        <v>669</v>
      </c>
      <c r="H1463" s="5" t="s">
        <v>20</v>
      </c>
      <c r="I1463" s="5" t="s">
        <v>3770</v>
      </c>
      <c r="J1463" s="12" t="str">
        <f>HYPERLINK("https://www.boe.es/gazeta/dias/1804/07/27/pdfs/GMD-1804-60.pdf#page=11","Abrir facsímil")</f>
        <v>Abrir facsímil</v>
      </c>
      <c r="K1463" s="15" t="s">
        <v>22</v>
      </c>
    </row>
    <row r="1464" spans="1:11" ht="42" customHeight="1">
      <c r="A1464" s="4" t="s">
        <v>3765</v>
      </c>
      <c r="B1464" s="5" t="s">
        <v>3766</v>
      </c>
      <c r="C1464" s="5" t="s">
        <v>27</v>
      </c>
      <c r="D1464" s="5" t="s">
        <v>28</v>
      </c>
      <c r="E1464" s="5" t="s">
        <v>216</v>
      </c>
      <c r="F1464" s="9">
        <v>67</v>
      </c>
      <c r="G1464" s="9">
        <v>752</v>
      </c>
      <c r="H1464" s="5" t="s">
        <v>20</v>
      </c>
      <c r="I1464" s="5" t="s">
        <v>3771</v>
      </c>
      <c r="J1464" s="12" t="str">
        <f>HYPERLINK("https://www.boe.es/gazeta/dias/1804/08/21/pdfs/GMD-1804-67.pdf#page=10","Abrir facsímil")</f>
        <v>Abrir facsímil</v>
      </c>
      <c r="K1464" s="15" t="s">
        <v>22</v>
      </c>
    </row>
    <row r="1465" spans="1:11" ht="42" customHeight="1">
      <c r="A1465" s="4" t="s">
        <v>3765</v>
      </c>
      <c r="B1465" s="5" t="s">
        <v>3766</v>
      </c>
      <c r="C1465" s="5" t="s">
        <v>65</v>
      </c>
      <c r="D1465" s="5" t="s">
        <v>66</v>
      </c>
      <c r="E1465" s="5" t="s">
        <v>216</v>
      </c>
      <c r="F1465" s="9">
        <v>67</v>
      </c>
      <c r="G1465" s="9">
        <v>753</v>
      </c>
      <c r="H1465" s="5" t="s">
        <v>20</v>
      </c>
      <c r="I1465" s="5" t="s">
        <v>3772</v>
      </c>
      <c r="J1465" s="12" t="str">
        <f>HYPERLINK("https://www.boe.es/gazeta/dias/1804/08/21/pdfs/GMD-1804-67.pdf#page=11","Abrir facsímil")</f>
        <v>Abrir facsímil</v>
      </c>
      <c r="K1465" s="15" t="s">
        <v>22</v>
      </c>
    </row>
    <row r="1466" spans="1:11" ht="42" customHeight="1">
      <c r="A1466" s="4" t="s">
        <v>3765</v>
      </c>
      <c r="B1466" s="5" t="s">
        <v>3766</v>
      </c>
      <c r="C1466" s="5" t="s">
        <v>27</v>
      </c>
      <c r="D1466" s="5" t="s">
        <v>28</v>
      </c>
      <c r="E1466" s="5" t="s">
        <v>637</v>
      </c>
      <c r="F1466" s="9">
        <v>74</v>
      </c>
      <c r="G1466" s="9">
        <v>832</v>
      </c>
      <c r="H1466" s="5" t="s">
        <v>20</v>
      </c>
      <c r="I1466" s="5" t="s">
        <v>3773</v>
      </c>
      <c r="J1466" s="12" t="str">
        <f>HYPERLINK("https://www.boe.es/gazeta/dias/1804/09/14/pdfs/GMD-1804-74.pdf#page=10","Abrir facsímil")</f>
        <v>Abrir facsímil</v>
      </c>
      <c r="K1466" s="15" t="s">
        <v>22</v>
      </c>
    </row>
    <row r="1467" spans="1:11" ht="42" customHeight="1">
      <c r="A1467" s="4" t="s">
        <v>3765</v>
      </c>
      <c r="B1467" s="5" t="s">
        <v>3766</v>
      </c>
      <c r="C1467" s="5" t="s">
        <v>198</v>
      </c>
      <c r="D1467" s="5" t="s">
        <v>66</v>
      </c>
      <c r="E1467" s="5" t="s">
        <v>637</v>
      </c>
      <c r="F1467" s="9">
        <v>74</v>
      </c>
      <c r="G1467" s="9">
        <v>833</v>
      </c>
      <c r="H1467" s="5" t="s">
        <v>20</v>
      </c>
      <c r="I1467" s="5" t="s">
        <v>3774</v>
      </c>
      <c r="J1467" s="12" t="str">
        <f>HYPERLINK("https://www.boe.es/gazeta/dias/1804/09/14/pdfs/GMD-1804-74.pdf#page=11","Abrir facsímil")</f>
        <v>Abrir facsímil</v>
      </c>
      <c r="K1467" s="15" t="s">
        <v>22</v>
      </c>
    </row>
    <row r="1468" spans="1:11" ht="42" customHeight="1">
      <c r="A1468" s="4" t="s">
        <v>3775</v>
      </c>
      <c r="B1468" s="5" t="s">
        <v>3776</v>
      </c>
      <c r="C1468" s="5" t="s">
        <v>198</v>
      </c>
      <c r="D1468" s="5" t="s">
        <v>66</v>
      </c>
      <c r="E1468" s="5" t="s">
        <v>77</v>
      </c>
      <c r="F1468" s="9">
        <v>32</v>
      </c>
      <c r="G1468" s="9">
        <v>358</v>
      </c>
      <c r="H1468" s="5" t="s">
        <v>20</v>
      </c>
      <c r="I1468" s="5" t="s">
        <v>3777</v>
      </c>
      <c r="J1468" s="12" t="str">
        <f>HYPERLINK("https://www.boe.es/gazeta/dias/1804/04/20/pdfs/GMD-1804-32.pdf#page=12","Abrir facsímil")</f>
        <v>Abrir facsímil</v>
      </c>
      <c r="K1468" s="15" t="s">
        <v>22</v>
      </c>
    </row>
    <row r="1469" spans="1:11" ht="42" customHeight="1">
      <c r="A1469" s="4" t="s">
        <v>3778</v>
      </c>
      <c r="B1469" s="5" t="s">
        <v>3779</v>
      </c>
      <c r="C1469" s="5" t="s">
        <v>27</v>
      </c>
      <c r="D1469" s="5" t="s">
        <v>28</v>
      </c>
      <c r="E1469" s="5" t="s">
        <v>77</v>
      </c>
      <c r="F1469" s="9">
        <v>32</v>
      </c>
      <c r="G1469" s="9">
        <v>356</v>
      </c>
      <c r="H1469" s="5" t="s">
        <v>20</v>
      </c>
      <c r="I1469" s="5" t="s">
        <v>3780</v>
      </c>
      <c r="J1469" s="12" t="str">
        <f>HYPERLINK("https://www.boe.es/gazeta/dias/1804/04/20/pdfs/GMD-1804-32.pdf#page=10","Abrir facsímil")</f>
        <v>Abrir facsímil</v>
      </c>
      <c r="K1469" s="15" t="s">
        <v>22</v>
      </c>
    </row>
    <row r="1470" spans="1:11" ht="42" customHeight="1">
      <c r="A1470" s="4" t="s">
        <v>3781</v>
      </c>
      <c r="B1470" s="5" t="s">
        <v>3782</v>
      </c>
      <c r="C1470" s="5" t="s">
        <v>198</v>
      </c>
      <c r="D1470" s="5" t="s">
        <v>66</v>
      </c>
      <c r="E1470" s="5" t="s">
        <v>339</v>
      </c>
      <c r="F1470" s="9">
        <v>94</v>
      </c>
      <c r="G1470" s="9">
        <v>1038</v>
      </c>
      <c r="H1470" s="5" t="s">
        <v>20</v>
      </c>
      <c r="I1470" s="5" t="s">
        <v>3783</v>
      </c>
      <c r="J1470" s="12" t="str">
        <f>HYPERLINK("https://www.boe.es/gazeta/dias/1804/11/23/pdfs/GMD-1804-94.pdf#page=6","Abrir facsímil")</f>
        <v>Abrir facsímil</v>
      </c>
      <c r="K1470" s="15" t="s">
        <v>22</v>
      </c>
    </row>
    <row r="1471" spans="1:11" ht="42" customHeight="1">
      <c r="A1471" s="4" t="s">
        <v>3784</v>
      </c>
      <c r="B1471" s="5" t="s">
        <v>3785</v>
      </c>
      <c r="C1471" s="5" t="s">
        <v>198</v>
      </c>
      <c r="D1471" s="5" t="s">
        <v>66</v>
      </c>
      <c r="E1471" s="5" t="s">
        <v>526</v>
      </c>
      <c r="F1471" s="9">
        <v>95</v>
      </c>
      <c r="G1471" s="9">
        <v>1059</v>
      </c>
      <c r="H1471" s="5" t="s">
        <v>20</v>
      </c>
      <c r="I1471" s="5" t="s">
        <v>3786</v>
      </c>
      <c r="J1471" s="12" t="str">
        <f>HYPERLINK("https://www.boe.es/gazeta/dias/1804/11/27/pdfs/GMD-1804-95.pdf#page=11","Abrir facsímil")</f>
        <v>Abrir facsímil</v>
      </c>
      <c r="K1471" s="15" t="s">
        <v>22</v>
      </c>
    </row>
    <row r="1472" spans="1:11" ht="42" customHeight="1">
      <c r="A1472" s="4" t="s">
        <v>3787</v>
      </c>
      <c r="B1472" s="5" t="s">
        <v>3788</v>
      </c>
      <c r="C1472" s="5" t="s">
        <v>198</v>
      </c>
      <c r="D1472" s="5" t="s">
        <v>66</v>
      </c>
      <c r="E1472" s="5" t="s">
        <v>175</v>
      </c>
      <c r="F1472" s="9">
        <v>58</v>
      </c>
      <c r="G1472" s="9">
        <v>645</v>
      </c>
      <c r="H1472" s="5" t="s">
        <v>20</v>
      </c>
      <c r="I1472" s="5" t="s">
        <v>3789</v>
      </c>
      <c r="J1472" s="12" t="str">
        <f>HYPERLINK("https://www.boe.es/gazeta/dias/1804/07/20/pdfs/GMD-1804-58.pdf#page=11","Abrir facsímil")</f>
        <v>Abrir facsímil</v>
      </c>
      <c r="K1472" s="15" t="s">
        <v>22</v>
      </c>
    </row>
    <row r="1473" spans="1:11" ht="42" customHeight="1">
      <c r="A1473" s="4" t="s">
        <v>3787</v>
      </c>
      <c r="B1473" s="5" t="s">
        <v>3788</v>
      </c>
      <c r="C1473" s="5" t="s">
        <v>27</v>
      </c>
      <c r="D1473" s="5" t="s">
        <v>28</v>
      </c>
      <c r="E1473" s="5" t="s">
        <v>212</v>
      </c>
      <c r="F1473" s="9">
        <v>89</v>
      </c>
      <c r="G1473" s="9">
        <v>991</v>
      </c>
      <c r="H1473" s="5" t="s">
        <v>20</v>
      </c>
      <c r="I1473" s="5" t="s">
        <v>3790</v>
      </c>
      <c r="J1473" s="12" t="str">
        <f>HYPERLINK("https://www.boe.es/gazeta/dias/1804/11/06/pdfs/GMD-1804-89.pdf#page=11","Abrir facsímil")</f>
        <v>Abrir facsímil</v>
      </c>
      <c r="K1473" s="15" t="s">
        <v>22</v>
      </c>
    </row>
    <row r="1474" spans="1:11" ht="42" customHeight="1">
      <c r="A1474" s="4" t="s">
        <v>3787</v>
      </c>
      <c r="B1474" s="5" t="s">
        <v>3788</v>
      </c>
      <c r="C1474" s="5" t="s">
        <v>27</v>
      </c>
      <c r="D1474" s="5" t="s">
        <v>28</v>
      </c>
      <c r="E1474" s="5" t="s">
        <v>308</v>
      </c>
      <c r="F1474" s="9">
        <v>96</v>
      </c>
      <c r="G1474" s="9">
        <v>1071</v>
      </c>
      <c r="H1474" s="5" t="s">
        <v>20</v>
      </c>
      <c r="I1474" s="5" t="s">
        <v>3791</v>
      </c>
      <c r="J1474" s="12" t="str">
        <f>HYPERLINK("https://www.boe.es/gazeta/dias/1804/11/30/pdfs/GMD-1804-96.pdf#page=11","Abrir facsímil")</f>
        <v>Abrir facsímil</v>
      </c>
      <c r="K1474" s="15" t="s">
        <v>22</v>
      </c>
    </row>
    <row r="1475" spans="1:11" ht="42" customHeight="1">
      <c r="A1475" s="4" t="s">
        <v>3792</v>
      </c>
      <c r="B1475" s="5" t="s">
        <v>3793</v>
      </c>
      <c r="C1475" s="5" t="s">
        <v>17</v>
      </c>
      <c r="D1475" s="5" t="s">
        <v>18</v>
      </c>
      <c r="E1475" s="5" t="s">
        <v>61</v>
      </c>
      <c r="F1475" s="9">
        <v>61</v>
      </c>
      <c r="G1475" s="9">
        <v>677</v>
      </c>
      <c r="H1475" s="5" t="s">
        <v>20</v>
      </c>
      <c r="I1475" s="5" t="s">
        <v>3794</v>
      </c>
      <c r="J1475" s="12" t="str">
        <f>HYPERLINK("https://www.boe.es/gazeta/dias/1804/07/31/pdfs/GMD-1804-61.pdf#page=7","Abrir facsímil")</f>
        <v>Abrir facsímil</v>
      </c>
      <c r="K1475" s="15" t="s">
        <v>22</v>
      </c>
    </row>
    <row r="1476" spans="1:11" ht="42" customHeight="1">
      <c r="A1476" s="4" t="s">
        <v>3795</v>
      </c>
      <c r="B1476" s="5" t="s">
        <v>3796</v>
      </c>
      <c r="C1476" s="5" t="s">
        <v>27</v>
      </c>
      <c r="D1476" s="5" t="s">
        <v>28</v>
      </c>
      <c r="E1476" s="5" t="s">
        <v>794</v>
      </c>
      <c r="F1476" s="9">
        <v>42</v>
      </c>
      <c r="G1476" s="9">
        <v>473</v>
      </c>
      <c r="H1476" s="5" t="s">
        <v>20</v>
      </c>
      <c r="I1476" s="5" t="s">
        <v>3797</v>
      </c>
      <c r="J1476" s="12" t="str">
        <f>HYPERLINK("https://www.boe.es/gazeta/dias/1804/05/25/pdfs/GMD-1804-42.pdf#page=11","Abrir facsímil")</f>
        <v>Abrir facsímil</v>
      </c>
      <c r="K1476" s="15" t="s">
        <v>22</v>
      </c>
    </row>
    <row r="1477" spans="1:11" ht="42" customHeight="1">
      <c r="A1477" s="4" t="s">
        <v>3798</v>
      </c>
      <c r="B1477" s="5" t="s">
        <v>3799</v>
      </c>
      <c r="C1477" s="5" t="s">
        <v>17</v>
      </c>
      <c r="D1477" s="5" t="s">
        <v>18</v>
      </c>
      <c r="E1477" s="5" t="s">
        <v>709</v>
      </c>
      <c r="F1477" s="9">
        <v>82</v>
      </c>
      <c r="G1477" s="9">
        <v>907</v>
      </c>
      <c r="H1477" s="5" t="s">
        <v>20</v>
      </c>
      <c r="I1477" s="5" t="s">
        <v>3800</v>
      </c>
      <c r="J1477" s="12" t="str">
        <f>HYPERLINK("https://www.boe.es/gazeta/dias/1804/10/12/pdfs/GMD-1804-82.pdf#page=9","Abrir facsímil")</f>
        <v>Abrir facsímil</v>
      </c>
      <c r="K1477" s="15" t="s">
        <v>22</v>
      </c>
    </row>
    <row r="1478" spans="1:11" ht="42" customHeight="1">
      <c r="A1478" s="4" t="s">
        <v>3801</v>
      </c>
      <c r="B1478" s="5" t="s">
        <v>3802</v>
      </c>
      <c r="C1478" s="5" t="s">
        <v>27</v>
      </c>
      <c r="D1478" s="5" t="s">
        <v>28</v>
      </c>
      <c r="E1478" s="5" t="s">
        <v>81</v>
      </c>
      <c r="F1478" s="9">
        <v>98</v>
      </c>
      <c r="G1478" s="9">
        <v>1089</v>
      </c>
      <c r="H1478" s="5" t="s">
        <v>20</v>
      </c>
      <c r="I1478" s="5" t="s">
        <v>3803</v>
      </c>
      <c r="J1478" s="12" t="str">
        <f>HYPERLINK("https://www.boe.es/gazeta/dias/1804/12/07/pdfs/GMD-1804-98.pdf#page=5","Abrir facsímil")</f>
        <v>Abrir facsímil</v>
      </c>
      <c r="K1478" s="15" t="s">
        <v>22</v>
      </c>
    </row>
    <row r="1479" spans="1:11" ht="42" customHeight="1">
      <c r="A1479" s="4" t="s">
        <v>3804</v>
      </c>
      <c r="B1479" s="5" t="s">
        <v>3805</v>
      </c>
      <c r="C1479" s="5" t="s">
        <v>27</v>
      </c>
      <c r="D1479" s="5" t="s">
        <v>28</v>
      </c>
      <c r="E1479" s="5" t="s">
        <v>245</v>
      </c>
      <c r="F1479" s="9">
        <v>6</v>
      </c>
      <c r="G1479" s="9">
        <v>58</v>
      </c>
      <c r="H1479" s="5" t="s">
        <v>20</v>
      </c>
      <c r="I1479" s="5" t="s">
        <v>3806</v>
      </c>
      <c r="J1479" s="12" t="str">
        <f>HYPERLINK("https://www.boe.es/gazeta/dias/1804/01/20/pdfs/GMD-1804-6.pdf#page=10","Abrir facsímil")</f>
        <v>Abrir facsímil</v>
      </c>
      <c r="K1479" s="15" t="s">
        <v>22</v>
      </c>
    </row>
    <row r="1480" spans="1:11" ht="42" customHeight="1">
      <c r="A1480" s="4" t="s">
        <v>3807</v>
      </c>
      <c r="B1480" s="5" t="s">
        <v>3808</v>
      </c>
      <c r="C1480" s="5" t="s">
        <v>27</v>
      </c>
      <c r="D1480" s="5" t="s">
        <v>28</v>
      </c>
      <c r="E1480" s="5" t="s">
        <v>308</v>
      </c>
      <c r="F1480" s="9">
        <v>96</v>
      </c>
      <c r="G1480" s="9">
        <v>1067</v>
      </c>
      <c r="H1480" s="5" t="s">
        <v>20</v>
      </c>
      <c r="I1480" s="5" t="s">
        <v>3809</v>
      </c>
      <c r="J1480" s="12" t="str">
        <f>HYPERLINK("https://www.boe.es/gazeta/dias/1804/11/30/pdfs/GMD-1804-96.pdf#page=7","Abrir facsímil")</f>
        <v>Abrir facsímil</v>
      </c>
      <c r="K1480" s="15" t="s">
        <v>22</v>
      </c>
    </row>
    <row r="1481" spans="1:11" ht="42" customHeight="1">
      <c r="A1481" s="4" t="s">
        <v>3810</v>
      </c>
      <c r="B1481" s="5" t="s">
        <v>3811</v>
      </c>
      <c r="C1481" s="5" t="s">
        <v>17</v>
      </c>
      <c r="D1481" s="5" t="s">
        <v>18</v>
      </c>
      <c r="E1481" s="5" t="s">
        <v>172</v>
      </c>
      <c r="F1481" s="9">
        <v>38</v>
      </c>
      <c r="G1481" s="9">
        <v>424</v>
      </c>
      <c r="H1481" s="5" t="s">
        <v>20</v>
      </c>
      <c r="I1481" s="5" t="s">
        <v>3812</v>
      </c>
      <c r="J1481" s="12" t="str">
        <f>HYPERLINK("https://www.boe.es/gazeta/dias/1804/05/11/pdfs/GMD-1804-38.pdf#page=10","Abrir facsímil")</f>
        <v>Abrir facsímil</v>
      </c>
      <c r="K1481" s="15" t="s">
        <v>22</v>
      </c>
    </row>
    <row r="1482" spans="1:11" ht="42" customHeight="1">
      <c r="A1482" s="4" t="s">
        <v>3810</v>
      </c>
      <c r="B1482" s="5" t="s">
        <v>3811</v>
      </c>
      <c r="C1482" s="5" t="s">
        <v>27</v>
      </c>
      <c r="D1482" s="5" t="s">
        <v>28</v>
      </c>
      <c r="E1482" s="5" t="s">
        <v>587</v>
      </c>
      <c r="F1482" s="9">
        <v>62</v>
      </c>
      <c r="G1482" s="9">
        <v>688</v>
      </c>
      <c r="H1482" s="5" t="s">
        <v>20</v>
      </c>
      <c r="I1482" s="5" t="s">
        <v>3813</v>
      </c>
      <c r="J1482" s="12" t="str">
        <f>HYPERLINK("https://www.boe.es/gazeta/dias/1804/08/03/pdfs/GMD-1804-62.pdf#page=10","Abrir facsímil")</f>
        <v>Abrir facsímil</v>
      </c>
      <c r="K1482" s="15" t="s">
        <v>22</v>
      </c>
    </row>
    <row r="1483" spans="1:11" ht="42" customHeight="1">
      <c r="A1483" s="4" t="s">
        <v>3814</v>
      </c>
      <c r="B1483" s="5" t="s">
        <v>3815</v>
      </c>
      <c r="C1483" s="5" t="s">
        <v>17</v>
      </c>
      <c r="D1483" s="5" t="s">
        <v>18</v>
      </c>
      <c r="E1483" s="5" t="s">
        <v>75</v>
      </c>
      <c r="F1483" s="9">
        <v>16</v>
      </c>
      <c r="G1483" s="9">
        <v>173</v>
      </c>
      <c r="H1483" s="5" t="s">
        <v>20</v>
      </c>
      <c r="I1483" s="5" t="s">
        <v>3816</v>
      </c>
      <c r="J1483" s="12" t="str">
        <f>HYPERLINK("https://www.boe.es/gazeta/dias/1804/02/24/pdfs/GMD-1804-16.pdf#page=9","Abrir facsímil")</f>
        <v>Abrir facsímil</v>
      </c>
      <c r="K1483" s="15" t="s">
        <v>22</v>
      </c>
    </row>
    <row r="1484" spans="1:11" ht="42" customHeight="1">
      <c r="A1484" s="4" t="s">
        <v>3817</v>
      </c>
      <c r="B1484" s="5" t="s">
        <v>3818</v>
      </c>
      <c r="C1484" s="5" t="s">
        <v>17</v>
      </c>
      <c r="D1484" s="5" t="s">
        <v>18</v>
      </c>
      <c r="E1484" s="5" t="s">
        <v>172</v>
      </c>
      <c r="F1484" s="9">
        <v>38</v>
      </c>
      <c r="G1484" s="9">
        <v>424</v>
      </c>
      <c r="H1484" s="5" t="s">
        <v>20</v>
      </c>
      <c r="I1484" s="5" t="s">
        <v>3819</v>
      </c>
      <c r="J1484" s="12" t="str">
        <f>HYPERLINK("https://www.boe.es/gazeta/dias/1804/05/11/pdfs/GMD-1804-38.pdf#page=10","Abrir facsímil")</f>
        <v>Abrir facsímil</v>
      </c>
      <c r="K1484" s="15" t="s">
        <v>22</v>
      </c>
    </row>
    <row r="1485" spans="1:11" ht="42" customHeight="1">
      <c r="A1485" s="4" t="s">
        <v>3820</v>
      </c>
      <c r="B1485" s="5" t="s">
        <v>3821</v>
      </c>
      <c r="C1485" s="5" t="s">
        <v>27</v>
      </c>
      <c r="D1485" s="5" t="s">
        <v>28</v>
      </c>
      <c r="E1485" s="5" t="s">
        <v>19</v>
      </c>
      <c r="F1485" s="9">
        <v>60</v>
      </c>
      <c r="G1485" s="9">
        <v>665</v>
      </c>
      <c r="H1485" s="5" t="s">
        <v>20</v>
      </c>
      <c r="I1485" s="5" t="s">
        <v>3822</v>
      </c>
      <c r="J1485" s="12" t="str">
        <f>HYPERLINK("https://www.boe.es/gazeta/dias/1804/07/27/pdfs/GMD-1804-60.pdf#page=7","Abrir facsímil")</f>
        <v>Abrir facsímil</v>
      </c>
      <c r="K1485" s="15" t="s">
        <v>22</v>
      </c>
    </row>
    <row r="1486" spans="1:11" ht="42" customHeight="1">
      <c r="A1486" s="4" t="s">
        <v>3823</v>
      </c>
      <c r="B1486" s="5" t="s">
        <v>3824</v>
      </c>
      <c r="C1486" s="5" t="s">
        <v>27</v>
      </c>
      <c r="D1486" s="5" t="s">
        <v>28</v>
      </c>
      <c r="E1486" s="5" t="s">
        <v>388</v>
      </c>
      <c r="F1486" s="9">
        <v>18</v>
      </c>
      <c r="G1486" s="9">
        <v>198</v>
      </c>
      <c r="H1486" s="5" t="s">
        <v>20</v>
      </c>
      <c r="I1486" s="5" t="s">
        <v>3825</v>
      </c>
      <c r="J1486" s="12" t="str">
        <f>HYPERLINK("https://www.boe.es/gazeta/dias/1804/03/02/pdfs/GMD-1804-18.pdf#page=10","Abrir facsímil")</f>
        <v>Abrir facsímil</v>
      </c>
      <c r="K1486" s="15" t="s">
        <v>22</v>
      </c>
    </row>
    <row r="1487" spans="1:11" ht="42" customHeight="1">
      <c r="A1487" s="4" t="s">
        <v>3826</v>
      </c>
      <c r="B1487" s="5" t="s">
        <v>3827</v>
      </c>
      <c r="C1487" s="5" t="s">
        <v>27</v>
      </c>
      <c r="D1487" s="5" t="s">
        <v>28</v>
      </c>
      <c r="E1487" s="5" t="s">
        <v>77</v>
      </c>
      <c r="F1487" s="9">
        <v>32</v>
      </c>
      <c r="G1487" s="9">
        <v>356</v>
      </c>
      <c r="H1487" s="5" t="s">
        <v>20</v>
      </c>
      <c r="I1487" s="5" t="s">
        <v>3828</v>
      </c>
      <c r="J1487" s="12" t="str">
        <f>HYPERLINK("https://www.boe.es/gazeta/dias/1804/04/20/pdfs/GMD-1804-32.pdf#page=10","Abrir facsímil")</f>
        <v>Abrir facsímil</v>
      </c>
      <c r="K1487" s="15" t="s">
        <v>22</v>
      </c>
    </row>
    <row r="1488" spans="1:11" ht="42" customHeight="1">
      <c r="A1488" s="4" t="s">
        <v>3829</v>
      </c>
      <c r="B1488" s="5" t="s">
        <v>3830</v>
      </c>
      <c r="C1488" s="5" t="s">
        <v>85</v>
      </c>
      <c r="D1488" s="5" t="s">
        <v>86</v>
      </c>
      <c r="E1488" s="5" t="s">
        <v>143</v>
      </c>
      <c r="F1488" s="9">
        <v>87</v>
      </c>
      <c r="G1488" s="9">
        <v>967</v>
      </c>
      <c r="H1488" s="5" t="s">
        <v>20</v>
      </c>
      <c r="I1488" s="5" t="s">
        <v>3831</v>
      </c>
      <c r="J1488" s="12" t="str">
        <f>HYPERLINK("https://www.boe.es/gazeta/dias/1804/10/30/pdfs/GMD-1804-87.pdf#page=11","Abrir facsímil")</f>
        <v>Abrir facsímil</v>
      </c>
      <c r="K1488" s="15" t="s">
        <v>22</v>
      </c>
    </row>
    <row r="1489" spans="1:11" ht="42" customHeight="1">
      <c r="A1489" s="4" t="s">
        <v>3832</v>
      </c>
      <c r="B1489" s="5" t="s">
        <v>3833</v>
      </c>
      <c r="C1489" s="5" t="s">
        <v>198</v>
      </c>
      <c r="D1489" s="5" t="s">
        <v>66</v>
      </c>
      <c r="E1489" s="5" t="s">
        <v>339</v>
      </c>
      <c r="F1489" s="9">
        <v>94</v>
      </c>
      <c r="G1489" s="9">
        <v>1038</v>
      </c>
      <c r="H1489" s="5" t="s">
        <v>20</v>
      </c>
      <c r="I1489" s="5" t="s">
        <v>3834</v>
      </c>
      <c r="J1489" s="12" t="str">
        <f>HYPERLINK("https://www.boe.es/gazeta/dias/1804/11/23/pdfs/GMD-1804-94.pdf#page=6","Abrir facsímil")</f>
        <v>Abrir facsímil</v>
      </c>
      <c r="K1489" s="15" t="s">
        <v>22</v>
      </c>
    </row>
    <row r="1490" spans="1:11" ht="42" customHeight="1">
      <c r="A1490" s="4" t="s">
        <v>3835</v>
      </c>
      <c r="B1490" s="5" t="s">
        <v>3836</v>
      </c>
      <c r="C1490" s="5" t="s">
        <v>27</v>
      </c>
      <c r="D1490" s="5" t="s">
        <v>28</v>
      </c>
      <c r="E1490" s="5" t="s">
        <v>151</v>
      </c>
      <c r="F1490" s="9">
        <v>13</v>
      </c>
      <c r="G1490" s="9">
        <v>142</v>
      </c>
      <c r="H1490" s="5" t="s">
        <v>20</v>
      </c>
      <c r="I1490" s="5" t="s">
        <v>3837</v>
      </c>
      <c r="J1490" s="12" t="str">
        <f>HYPERLINK("https://www.boe.es/gazeta/dias/1804/02/14/pdfs/GMD-1804-13.pdf#page=6","Abrir facsímil")</f>
        <v>Abrir facsímil</v>
      </c>
      <c r="K1490" s="15" t="s">
        <v>22</v>
      </c>
    </row>
    <row r="1491" spans="1:11" ht="42" customHeight="1">
      <c r="A1491" s="4" t="s">
        <v>3838</v>
      </c>
      <c r="B1491" s="5" t="s">
        <v>3839</v>
      </c>
      <c r="C1491" s="5" t="s">
        <v>65</v>
      </c>
      <c r="D1491" s="5" t="s">
        <v>66</v>
      </c>
      <c r="E1491" s="5" t="s">
        <v>61</v>
      </c>
      <c r="F1491" s="9">
        <v>61</v>
      </c>
      <c r="G1491" s="9">
        <v>676</v>
      </c>
      <c r="H1491" s="5" t="s">
        <v>20</v>
      </c>
      <c r="I1491" s="5" t="s">
        <v>3840</v>
      </c>
      <c r="J1491" s="12" t="str">
        <f>HYPERLINK("https://www.boe.es/gazeta/dias/1804/07/31/pdfs/GMD-1804-61.pdf#page=6","Abrir facsímil")</f>
        <v>Abrir facsímil</v>
      </c>
      <c r="K1491" s="15" t="s">
        <v>22</v>
      </c>
    </row>
    <row r="1492" spans="1:11" ht="42" customHeight="1">
      <c r="A1492" s="4" t="s">
        <v>3841</v>
      </c>
      <c r="B1492" s="5" t="s">
        <v>3842</v>
      </c>
      <c r="C1492" s="5" t="s">
        <v>17</v>
      </c>
      <c r="D1492" s="5" t="s">
        <v>18</v>
      </c>
      <c r="E1492" s="5" t="s">
        <v>484</v>
      </c>
      <c r="F1492" s="9">
        <v>53</v>
      </c>
      <c r="G1492" s="9">
        <v>591</v>
      </c>
      <c r="H1492" s="5" t="s">
        <v>20</v>
      </c>
      <c r="I1492" s="5" t="s">
        <v>3843</v>
      </c>
      <c r="J1492" s="12" t="str">
        <f>HYPERLINK("https://www.boe.es/gazeta/dias/1804/07/03/pdfs/GMD-1804-53.pdf#page=9","Abrir facsímil")</f>
        <v>Abrir facsímil</v>
      </c>
      <c r="K1492" s="15" t="s">
        <v>22</v>
      </c>
    </row>
    <row r="1493" spans="1:11" ht="42" customHeight="1">
      <c r="A1493" s="4" t="s">
        <v>3844</v>
      </c>
      <c r="B1493" s="5" t="s">
        <v>3845</v>
      </c>
      <c r="C1493" s="5" t="s">
        <v>198</v>
      </c>
      <c r="D1493" s="5" t="s">
        <v>66</v>
      </c>
      <c r="E1493" s="5" t="s">
        <v>29</v>
      </c>
      <c r="F1493" s="9">
        <v>88</v>
      </c>
      <c r="G1493" s="9">
        <v>977</v>
      </c>
      <c r="H1493" s="5" t="s">
        <v>20</v>
      </c>
      <c r="I1493" s="5" t="s">
        <v>3846</v>
      </c>
      <c r="J1493" s="12" t="str">
        <f>HYPERLINK("https://www.boe.es/gazeta/dias/1804/11/02/pdfs/GMD-1804-88.pdf#page=9","Abrir facsímil")</f>
        <v>Abrir facsímil</v>
      </c>
      <c r="K1493" s="15" t="s">
        <v>22</v>
      </c>
    </row>
    <row r="1494" spans="1:11" ht="42" customHeight="1">
      <c r="A1494" s="4" t="s">
        <v>3847</v>
      </c>
      <c r="B1494" s="5" t="s">
        <v>3848</v>
      </c>
      <c r="C1494" s="5" t="s">
        <v>27</v>
      </c>
      <c r="D1494" s="5" t="s">
        <v>28</v>
      </c>
      <c r="E1494" s="5" t="s">
        <v>97</v>
      </c>
      <c r="F1494" s="9">
        <v>50</v>
      </c>
      <c r="G1494" s="9">
        <v>553</v>
      </c>
      <c r="H1494" s="5" t="s">
        <v>20</v>
      </c>
      <c r="I1494" s="5" t="s">
        <v>3849</v>
      </c>
      <c r="J1494" s="12" t="str">
        <f>HYPERLINK("https://www.boe.es/gazeta/dias/1804/06/22/pdfs/GMD-1804-50.pdf#page=7","Abrir facsímil")</f>
        <v>Abrir facsímil</v>
      </c>
      <c r="K1494" s="15" t="s">
        <v>22</v>
      </c>
    </row>
    <row r="1495" spans="1:11" ht="42" customHeight="1">
      <c r="A1495" s="4" t="s">
        <v>3850</v>
      </c>
      <c r="B1495" s="5" t="s">
        <v>3851</v>
      </c>
      <c r="C1495" s="5" t="s">
        <v>17</v>
      </c>
      <c r="D1495" s="5" t="s">
        <v>18</v>
      </c>
      <c r="E1495" s="5" t="s">
        <v>576</v>
      </c>
      <c r="F1495" s="9">
        <v>85</v>
      </c>
      <c r="G1495" s="9">
        <v>940</v>
      </c>
      <c r="H1495" s="5" t="s">
        <v>20</v>
      </c>
      <c r="I1495" s="5" t="s">
        <v>3852</v>
      </c>
      <c r="J1495" s="12" t="str">
        <f>HYPERLINK("https://www.boe.es/gazeta/dias/1804/10/23/pdfs/GMD-1804-85.pdf#page=10","Abrir facsímil")</f>
        <v>Abrir facsímil</v>
      </c>
      <c r="K1495" s="15" t="s">
        <v>22</v>
      </c>
    </row>
    <row r="1496" spans="1:11" ht="42" customHeight="1">
      <c r="A1496" s="4" t="s">
        <v>3853</v>
      </c>
      <c r="B1496" s="5" t="s">
        <v>3854</v>
      </c>
      <c r="C1496" s="5" t="s">
        <v>198</v>
      </c>
      <c r="D1496" s="5" t="s">
        <v>66</v>
      </c>
      <c r="E1496" s="5" t="s">
        <v>666</v>
      </c>
      <c r="F1496" s="9">
        <v>57</v>
      </c>
      <c r="G1496" s="9">
        <v>634</v>
      </c>
      <c r="H1496" s="5" t="s">
        <v>20</v>
      </c>
      <c r="I1496" s="5" t="s">
        <v>3855</v>
      </c>
      <c r="J1496" s="12" t="str">
        <f>HYPERLINK("https://www.boe.es/gazeta/dias/1804/07/17/pdfs/GMD-1804-57.pdf#page=12","Abrir facsímil")</f>
        <v>Abrir facsímil</v>
      </c>
      <c r="K1496" s="15" t="s">
        <v>22</v>
      </c>
    </row>
    <row r="1497" spans="1:11" ht="42" customHeight="1">
      <c r="A1497" s="4" t="s">
        <v>3856</v>
      </c>
      <c r="B1497" s="5" t="s">
        <v>3857</v>
      </c>
      <c r="C1497" s="5" t="s">
        <v>27</v>
      </c>
      <c r="D1497" s="5" t="s">
        <v>28</v>
      </c>
      <c r="E1497" s="5" t="s">
        <v>67</v>
      </c>
      <c r="F1497" s="9">
        <v>59</v>
      </c>
      <c r="G1497" s="9">
        <v>653</v>
      </c>
      <c r="H1497" s="5" t="s">
        <v>20</v>
      </c>
      <c r="I1497" s="5" t="s">
        <v>3858</v>
      </c>
      <c r="J1497" s="12" t="str">
        <f>HYPERLINK("https://www.boe.es/gazeta/dias/1804/07/24/pdfs/GMD-1804-59.pdf#page=7","Abrir facsímil")</f>
        <v>Abrir facsímil</v>
      </c>
      <c r="K1497" s="15" t="s">
        <v>22</v>
      </c>
    </row>
    <row r="1498" spans="1:11" ht="42" customHeight="1">
      <c r="A1498" s="4" t="s">
        <v>3859</v>
      </c>
      <c r="B1498" s="5" t="s">
        <v>3860</v>
      </c>
      <c r="C1498" s="5" t="s">
        <v>27</v>
      </c>
      <c r="D1498" s="5" t="s">
        <v>28</v>
      </c>
      <c r="E1498" s="5" t="s">
        <v>216</v>
      </c>
      <c r="F1498" s="9">
        <v>67</v>
      </c>
      <c r="G1498" s="9">
        <v>751</v>
      </c>
      <c r="H1498" s="5" t="s">
        <v>20</v>
      </c>
      <c r="I1498" s="5" t="s">
        <v>3861</v>
      </c>
      <c r="J1498" s="12" t="str">
        <f>HYPERLINK("https://www.boe.es/gazeta/dias/1804/08/21/pdfs/GMD-1804-67.pdf#page=9","Abrir facsímil")</f>
        <v>Abrir facsímil</v>
      </c>
      <c r="K1498" s="15" t="s">
        <v>22</v>
      </c>
    </row>
    <row r="1499" spans="1:11" ht="42" customHeight="1">
      <c r="A1499" s="4" t="s">
        <v>3862</v>
      </c>
      <c r="B1499" s="5" t="s">
        <v>3863</v>
      </c>
      <c r="C1499" s="5" t="s">
        <v>27</v>
      </c>
      <c r="D1499" s="5" t="s">
        <v>28</v>
      </c>
      <c r="E1499" s="5" t="s">
        <v>251</v>
      </c>
      <c r="F1499" s="9">
        <v>79</v>
      </c>
      <c r="G1499" s="9">
        <v>878</v>
      </c>
      <c r="H1499" s="5" t="s">
        <v>20</v>
      </c>
      <c r="I1499" s="5" t="s">
        <v>3864</v>
      </c>
      <c r="J1499" s="12" t="str">
        <f>HYPERLINK("https://www.boe.es/gazeta/dias/1804/10/02/pdfs/GMD-1804-79.pdf#page=8","Abrir facsímil")</f>
        <v>Abrir facsímil</v>
      </c>
      <c r="K1499" s="15" t="s">
        <v>22</v>
      </c>
    </row>
    <row r="1500" spans="1:11" ht="42" customHeight="1">
      <c r="A1500" s="4" t="s">
        <v>3865</v>
      </c>
      <c r="B1500" s="5" t="s">
        <v>3866</v>
      </c>
      <c r="C1500" s="5" t="s">
        <v>198</v>
      </c>
      <c r="D1500" s="5" t="s">
        <v>66</v>
      </c>
      <c r="E1500" s="5" t="s">
        <v>59</v>
      </c>
      <c r="F1500" s="9">
        <v>55</v>
      </c>
      <c r="G1500" s="9">
        <v>613</v>
      </c>
      <c r="H1500" s="5" t="s">
        <v>20</v>
      </c>
      <c r="I1500" s="5" t="s">
        <v>3867</v>
      </c>
      <c r="J1500" s="12" t="str">
        <f>HYPERLINK("https://www.boe.es/gazeta/dias/1804/07/10/pdfs/GMD-1804-55.pdf#page=11","Abrir facsímil")</f>
        <v>Abrir facsímil</v>
      </c>
      <c r="K1500" s="15" t="s">
        <v>22</v>
      </c>
    </row>
    <row r="1501" spans="1:11" ht="42" customHeight="1">
      <c r="A1501" s="4" t="s">
        <v>3868</v>
      </c>
      <c r="B1501" s="5" t="s">
        <v>3869</v>
      </c>
      <c r="C1501" s="5" t="s">
        <v>27</v>
      </c>
      <c r="D1501" s="5" t="s">
        <v>28</v>
      </c>
      <c r="E1501" s="5" t="s">
        <v>172</v>
      </c>
      <c r="F1501" s="9">
        <v>38</v>
      </c>
      <c r="G1501" s="9">
        <v>424</v>
      </c>
      <c r="H1501" s="5" t="s">
        <v>20</v>
      </c>
      <c r="I1501" s="5" t="s">
        <v>3870</v>
      </c>
      <c r="J1501" s="12" t="str">
        <f>HYPERLINK("https://www.boe.es/gazeta/dias/1804/05/11/pdfs/GMD-1804-38.pdf#page=10","Abrir facsímil")</f>
        <v>Abrir facsímil</v>
      </c>
      <c r="K1501" s="15" t="s">
        <v>22</v>
      </c>
    </row>
    <row r="1502" spans="1:11" ht="42" customHeight="1">
      <c r="A1502" s="4" t="s">
        <v>3871</v>
      </c>
      <c r="B1502" s="5" t="s">
        <v>3872</v>
      </c>
      <c r="C1502" s="5" t="s">
        <v>57</v>
      </c>
      <c r="D1502" s="5" t="s">
        <v>58</v>
      </c>
      <c r="E1502" s="5" t="s">
        <v>339</v>
      </c>
      <c r="F1502" s="9">
        <v>94</v>
      </c>
      <c r="G1502" s="9">
        <v>1033</v>
      </c>
      <c r="H1502" s="5" t="s">
        <v>20</v>
      </c>
      <c r="I1502" s="5" t="s">
        <v>3873</v>
      </c>
      <c r="J1502" s="12" t="str">
        <f>HYPERLINK("https://www.boe.es/gazeta/dias/1804/11/23/pdfs/GMD-1804-94.pdf#page=1","Abrir facsímil")</f>
        <v>Abrir facsímil</v>
      </c>
      <c r="K1502" s="15" t="s">
        <v>22</v>
      </c>
    </row>
    <row r="1503" spans="1:11" ht="42" customHeight="1">
      <c r="A1503" s="4" t="s">
        <v>3874</v>
      </c>
      <c r="B1503" s="5" t="s">
        <v>3875</v>
      </c>
      <c r="C1503" s="5" t="s">
        <v>17</v>
      </c>
      <c r="D1503" s="5" t="s">
        <v>18</v>
      </c>
      <c r="E1503" s="5" t="s">
        <v>320</v>
      </c>
      <c r="F1503" s="9">
        <v>31</v>
      </c>
      <c r="G1503" s="9">
        <v>345</v>
      </c>
      <c r="H1503" s="5" t="s">
        <v>20</v>
      </c>
      <c r="I1503" s="5" t="s">
        <v>3876</v>
      </c>
      <c r="J1503" s="12" t="str">
        <f>HYPERLINK("https://www.boe.es/gazeta/dias/1804/04/17/pdfs/GMD-1804-31.pdf#page=11","Abrir facsímil")</f>
        <v>Abrir facsímil</v>
      </c>
      <c r="K1503" s="15" t="s">
        <v>22</v>
      </c>
    </row>
    <row r="1504" spans="1:11" ht="42" customHeight="1">
      <c r="A1504" s="4" t="s">
        <v>3877</v>
      </c>
      <c r="B1504" s="5" t="s">
        <v>3878</v>
      </c>
      <c r="C1504" s="5" t="s">
        <v>85</v>
      </c>
      <c r="D1504" s="5" t="s">
        <v>86</v>
      </c>
      <c r="E1504" s="5" t="s">
        <v>251</v>
      </c>
      <c r="F1504" s="9">
        <v>79</v>
      </c>
      <c r="G1504" s="9">
        <v>880</v>
      </c>
      <c r="H1504" s="5" t="s">
        <v>20</v>
      </c>
      <c r="I1504" s="5" t="s">
        <v>3879</v>
      </c>
      <c r="J1504" s="12" t="str">
        <f>HYPERLINK("https://www.boe.es/gazeta/dias/1804/10/02/pdfs/GMD-1804-79.pdf#page=10","Abrir facsímil")</f>
        <v>Abrir facsímil</v>
      </c>
      <c r="K1504" s="15" t="s">
        <v>22</v>
      </c>
    </row>
    <row r="1505" spans="1:11" ht="42" customHeight="1">
      <c r="A1505" s="4" t="s">
        <v>3880</v>
      </c>
      <c r="B1505" s="5" t="s">
        <v>3881</v>
      </c>
      <c r="C1505" s="5" t="s">
        <v>27</v>
      </c>
      <c r="D1505" s="5" t="s">
        <v>28</v>
      </c>
      <c r="E1505" s="5" t="s">
        <v>251</v>
      </c>
      <c r="F1505" s="9">
        <v>79</v>
      </c>
      <c r="G1505" s="9">
        <v>879</v>
      </c>
      <c r="H1505" s="5" t="s">
        <v>20</v>
      </c>
      <c r="I1505" s="5" t="s">
        <v>3882</v>
      </c>
      <c r="J1505" s="12" t="str">
        <f>HYPERLINK("https://www.boe.es/gazeta/dias/1804/10/02/pdfs/GMD-1804-79.pdf#page=9","Abrir facsímil")</f>
        <v>Abrir facsímil</v>
      </c>
      <c r="K1505" s="15" t="s">
        <v>22</v>
      </c>
    </row>
    <row r="1506" spans="1:11" ht="42" customHeight="1">
      <c r="A1506" s="4" t="s">
        <v>3883</v>
      </c>
      <c r="B1506" s="5" t="s">
        <v>3884</v>
      </c>
      <c r="C1506" s="5" t="s">
        <v>198</v>
      </c>
      <c r="D1506" s="5" t="s">
        <v>66</v>
      </c>
      <c r="E1506" s="5" t="s">
        <v>54</v>
      </c>
      <c r="F1506" s="9">
        <v>63</v>
      </c>
      <c r="G1506" s="9">
        <v>702</v>
      </c>
      <c r="H1506" s="5" t="s">
        <v>20</v>
      </c>
      <c r="I1506" s="5" t="s">
        <v>3885</v>
      </c>
      <c r="J1506" s="12" t="str">
        <f>HYPERLINK("https://www.boe.es/gazeta/dias/1804/08/07/pdfs/GMD-1804-63.pdf#page=12","Abrir facsímil")</f>
        <v>Abrir facsímil</v>
      </c>
      <c r="K1506" s="15" t="s">
        <v>22</v>
      </c>
    </row>
    <row r="1507" spans="1:11" ht="42" customHeight="1">
      <c r="A1507" s="4" t="s">
        <v>3883</v>
      </c>
      <c r="B1507" s="5" t="s">
        <v>3884</v>
      </c>
      <c r="C1507" s="5" t="s">
        <v>198</v>
      </c>
      <c r="D1507" s="5" t="s">
        <v>66</v>
      </c>
      <c r="E1507" s="5" t="s">
        <v>547</v>
      </c>
      <c r="F1507" s="9">
        <v>68</v>
      </c>
      <c r="G1507" s="9">
        <v>766</v>
      </c>
      <c r="H1507" s="5" t="s">
        <v>20</v>
      </c>
      <c r="I1507" s="5" t="s">
        <v>3886</v>
      </c>
      <c r="J1507" s="12" t="str">
        <f>HYPERLINK("https://www.boe.es/gazeta/dias/1804/08/24/pdfs/GMD-1804-68.pdf#page=12","Abrir facsímil")</f>
        <v>Abrir facsímil</v>
      </c>
      <c r="K1507" s="15" t="s">
        <v>22</v>
      </c>
    </row>
    <row r="1508" spans="1:11" ht="42" customHeight="1">
      <c r="A1508" s="4" t="s">
        <v>3883</v>
      </c>
      <c r="B1508" s="5" t="s">
        <v>3884</v>
      </c>
      <c r="C1508" s="5" t="s">
        <v>85</v>
      </c>
      <c r="D1508" s="5" t="s">
        <v>86</v>
      </c>
      <c r="E1508" s="5" t="s">
        <v>326</v>
      </c>
      <c r="F1508" s="9">
        <v>69</v>
      </c>
      <c r="G1508" s="9">
        <v>777</v>
      </c>
      <c r="H1508" s="5" t="s">
        <v>20</v>
      </c>
      <c r="I1508" s="5" t="s">
        <v>3887</v>
      </c>
      <c r="J1508" s="12" t="str">
        <f>HYPERLINK("https://www.boe.es/gazeta/dias/1804/08/28/pdfs/GMD-1804-69.pdf#page=11","Abrir facsímil")</f>
        <v>Abrir facsímil</v>
      </c>
      <c r="K1508" s="15" t="s">
        <v>22</v>
      </c>
    </row>
    <row r="1509" spans="1:11" ht="42" customHeight="1">
      <c r="A1509" s="4" t="s">
        <v>3883</v>
      </c>
      <c r="B1509" s="5" t="s">
        <v>3884</v>
      </c>
      <c r="C1509" s="5" t="s">
        <v>198</v>
      </c>
      <c r="D1509" s="5" t="s">
        <v>66</v>
      </c>
      <c r="E1509" s="5" t="s">
        <v>637</v>
      </c>
      <c r="F1509" s="9">
        <v>74</v>
      </c>
      <c r="G1509" s="9">
        <v>832</v>
      </c>
      <c r="H1509" s="5" t="s">
        <v>20</v>
      </c>
      <c r="I1509" s="5" t="s">
        <v>3888</v>
      </c>
      <c r="J1509" s="12" t="str">
        <f>HYPERLINK("https://www.boe.es/gazeta/dias/1804/09/14/pdfs/GMD-1804-74.pdf#page=10","Abrir facsímil")</f>
        <v>Abrir facsímil</v>
      </c>
      <c r="K1509" s="15" t="s">
        <v>22</v>
      </c>
    </row>
    <row r="1510" spans="1:11" ht="42" customHeight="1">
      <c r="A1510" s="4" t="s">
        <v>3883</v>
      </c>
      <c r="B1510" s="5" t="s">
        <v>3884</v>
      </c>
      <c r="C1510" s="5" t="s">
        <v>85</v>
      </c>
      <c r="D1510" s="5" t="s">
        <v>86</v>
      </c>
      <c r="E1510" s="5" t="s">
        <v>339</v>
      </c>
      <c r="F1510" s="9">
        <v>94</v>
      </c>
      <c r="G1510" s="9">
        <v>1040</v>
      </c>
      <c r="H1510" s="5" t="s">
        <v>20</v>
      </c>
      <c r="I1510" s="5" t="s">
        <v>3889</v>
      </c>
      <c r="J1510" s="12" t="str">
        <f>HYPERLINK("https://www.boe.es/gazeta/dias/1804/11/23/pdfs/GMD-1804-94.pdf#page=8","Abrir facsímil")</f>
        <v>Abrir facsímil</v>
      </c>
      <c r="K1510" s="15" t="s">
        <v>22</v>
      </c>
    </row>
    <row r="1511" spans="1:11" ht="42" customHeight="1">
      <c r="A1511" s="4" t="s">
        <v>3890</v>
      </c>
      <c r="B1511" s="5" t="s">
        <v>3891</v>
      </c>
      <c r="C1511" s="5" t="s">
        <v>17</v>
      </c>
      <c r="D1511" s="5" t="s">
        <v>18</v>
      </c>
      <c r="E1511" s="5" t="s">
        <v>132</v>
      </c>
      <c r="F1511" s="9">
        <v>52</v>
      </c>
      <c r="G1511" s="9">
        <v>576</v>
      </c>
      <c r="H1511" s="5" t="s">
        <v>20</v>
      </c>
      <c r="I1511" s="5" t="s">
        <v>3892</v>
      </c>
      <c r="J1511" s="12" t="str">
        <f>HYPERLINK("https://www.boe.es/gazeta/dias/1804/06/29/pdfs/GMD-1804-52.pdf#page=10","Abrir facsímil")</f>
        <v>Abrir facsímil</v>
      </c>
      <c r="K1511" s="15" t="s">
        <v>22</v>
      </c>
    </row>
    <row r="1512" spans="1:11" ht="42" customHeight="1">
      <c r="A1512" s="4" t="s">
        <v>3893</v>
      </c>
      <c r="B1512" s="5" t="s">
        <v>3894</v>
      </c>
      <c r="C1512" s="5" t="s">
        <v>85</v>
      </c>
      <c r="D1512" s="5" t="s">
        <v>86</v>
      </c>
      <c r="E1512" s="5" t="s">
        <v>637</v>
      </c>
      <c r="F1512" s="9">
        <v>74</v>
      </c>
      <c r="G1512" s="9">
        <v>834</v>
      </c>
      <c r="H1512" s="5" t="s">
        <v>20</v>
      </c>
      <c r="I1512" s="5" t="s">
        <v>3895</v>
      </c>
      <c r="J1512" s="12" t="str">
        <f>HYPERLINK("https://www.boe.es/gazeta/dias/1804/09/14/pdfs/GMD-1804-74.pdf#page=12","Abrir facsímil")</f>
        <v>Abrir facsímil</v>
      </c>
      <c r="K1512" s="15" t="s">
        <v>22</v>
      </c>
    </row>
    <row r="1513" spans="1:11" ht="42" customHeight="1">
      <c r="A1513" s="4" t="s">
        <v>3896</v>
      </c>
      <c r="B1513" s="5" t="s">
        <v>3897</v>
      </c>
      <c r="C1513" s="5" t="s">
        <v>17</v>
      </c>
      <c r="D1513" s="5" t="s">
        <v>18</v>
      </c>
      <c r="E1513" s="5" t="s">
        <v>37</v>
      </c>
      <c r="F1513" s="9">
        <v>29</v>
      </c>
      <c r="G1513" s="9">
        <v>318</v>
      </c>
      <c r="H1513" s="5" t="s">
        <v>20</v>
      </c>
      <c r="I1513" s="5" t="s">
        <v>3898</v>
      </c>
      <c r="J1513" s="12" t="str">
        <f>HYPERLINK("https://www.boe.es/gazeta/dias/1804/04/10/pdfs/GMD-1804-29.pdf#page=8","Abrir facsímil")</f>
        <v>Abrir facsímil</v>
      </c>
      <c r="K1513" s="15" t="s">
        <v>22</v>
      </c>
    </row>
    <row r="1514" spans="1:11" ht="42" customHeight="1">
      <c r="A1514" s="4" t="s">
        <v>3899</v>
      </c>
      <c r="B1514" s="5" t="s">
        <v>3900</v>
      </c>
      <c r="C1514" s="5" t="s">
        <v>27</v>
      </c>
      <c r="D1514" s="5" t="s">
        <v>28</v>
      </c>
      <c r="E1514" s="5" t="s">
        <v>97</v>
      </c>
      <c r="F1514" s="9">
        <v>50</v>
      </c>
      <c r="G1514" s="9">
        <v>553</v>
      </c>
      <c r="H1514" s="5" t="s">
        <v>20</v>
      </c>
      <c r="I1514" s="5" t="s">
        <v>3901</v>
      </c>
      <c r="J1514" s="12" t="str">
        <f>HYPERLINK("https://www.boe.es/gazeta/dias/1804/06/22/pdfs/GMD-1804-50.pdf#page=7","Abrir facsímil")</f>
        <v>Abrir facsímil</v>
      </c>
      <c r="K1514" s="15" t="s">
        <v>22</v>
      </c>
    </row>
    <row r="1515" spans="1:11" ht="42" customHeight="1">
      <c r="A1515" s="4" t="s">
        <v>3902</v>
      </c>
      <c r="B1515" s="5" t="s">
        <v>3903</v>
      </c>
      <c r="C1515" s="5" t="s">
        <v>57</v>
      </c>
      <c r="D1515" s="5" t="s">
        <v>58</v>
      </c>
      <c r="E1515" s="5" t="s">
        <v>199</v>
      </c>
      <c r="F1515" s="9">
        <v>46</v>
      </c>
      <c r="G1515" s="9">
        <v>505</v>
      </c>
      <c r="H1515" s="5" t="s">
        <v>20</v>
      </c>
      <c r="I1515" s="5" t="s">
        <v>3904</v>
      </c>
      <c r="J1515" s="12" t="str">
        <f>HYPERLINK("https://www.boe.es/gazeta/dias/1804/06/08/pdfs/GMD-1804-46.pdf#page=3","Abrir facsímil")</f>
        <v>Abrir facsímil</v>
      </c>
      <c r="K1515" s="15" t="s">
        <v>22</v>
      </c>
    </row>
    <row r="1516" spans="1:11" ht="42" customHeight="1">
      <c r="A1516" s="4" t="s">
        <v>3905</v>
      </c>
      <c r="B1516" s="5" t="s">
        <v>3906</v>
      </c>
      <c r="C1516" s="5" t="s">
        <v>65</v>
      </c>
      <c r="D1516" s="5" t="s">
        <v>66</v>
      </c>
      <c r="E1516" s="5" t="s">
        <v>484</v>
      </c>
      <c r="F1516" s="9">
        <v>53</v>
      </c>
      <c r="G1516" s="9">
        <v>590</v>
      </c>
      <c r="H1516" s="5" t="s">
        <v>20</v>
      </c>
      <c r="I1516" s="5" t="s">
        <v>3907</v>
      </c>
      <c r="J1516" s="12" t="str">
        <f>HYPERLINK("https://www.boe.es/gazeta/dias/1804/07/03/pdfs/GMD-1804-53.pdf#page=8","Abrir facsímil")</f>
        <v>Abrir facsímil</v>
      </c>
      <c r="K1516" s="15" t="s">
        <v>22</v>
      </c>
    </row>
    <row r="1517" spans="1:11" ht="42" customHeight="1">
      <c r="A1517" s="4" t="s">
        <v>3908</v>
      </c>
      <c r="B1517" s="5" t="s">
        <v>3909</v>
      </c>
      <c r="C1517" s="5" t="s">
        <v>57</v>
      </c>
      <c r="D1517" s="5" t="s">
        <v>58</v>
      </c>
      <c r="E1517" s="5" t="s">
        <v>538</v>
      </c>
      <c r="F1517" s="9">
        <v>27</v>
      </c>
      <c r="G1517" s="9">
        <v>299</v>
      </c>
      <c r="H1517" s="5" t="s">
        <v>20</v>
      </c>
      <c r="I1517" s="5" t="s">
        <v>3910</v>
      </c>
      <c r="J1517" s="12" t="str">
        <f>HYPERLINK("https://www.boe.es/gazeta/dias/1804/04/03/pdfs/GMD-1804-27.pdf#page=5","Abrir facsímil")</f>
        <v>Abrir facsímil</v>
      </c>
      <c r="K1517" s="15" t="s">
        <v>22</v>
      </c>
    </row>
    <row r="1518" spans="1:11" ht="42" customHeight="1">
      <c r="A1518" s="4" t="s">
        <v>3908</v>
      </c>
      <c r="B1518" s="5" t="s">
        <v>3909</v>
      </c>
      <c r="C1518" s="5" t="s">
        <v>57</v>
      </c>
      <c r="D1518" s="5" t="s">
        <v>58</v>
      </c>
      <c r="E1518" s="5" t="s">
        <v>857</v>
      </c>
      <c r="F1518" s="9">
        <v>28</v>
      </c>
      <c r="G1518" s="9">
        <v>306</v>
      </c>
      <c r="H1518" s="5" t="s">
        <v>20</v>
      </c>
      <c r="I1518" s="5" t="s">
        <v>3911</v>
      </c>
      <c r="J1518" s="12" t="str">
        <f>HYPERLINK("https://www.boe.es/gazeta/dias/1804/04/06/pdfs/GMD-1804-28.pdf#page=4","Abrir facsímil")</f>
        <v>Abrir facsímil</v>
      </c>
      <c r="K1518" s="15" t="s">
        <v>22</v>
      </c>
    </row>
    <row r="1519" spans="1:11" ht="42" customHeight="1">
      <c r="A1519" s="4" t="s">
        <v>3908</v>
      </c>
      <c r="B1519" s="5" t="s">
        <v>3909</v>
      </c>
      <c r="C1519" s="5" t="s">
        <v>57</v>
      </c>
      <c r="D1519" s="5" t="s">
        <v>58</v>
      </c>
      <c r="E1519" s="5" t="s">
        <v>212</v>
      </c>
      <c r="F1519" s="9">
        <v>89</v>
      </c>
      <c r="G1519" s="9">
        <v>987</v>
      </c>
      <c r="H1519" s="5" t="s">
        <v>20</v>
      </c>
      <c r="I1519" s="5" t="s">
        <v>3912</v>
      </c>
      <c r="J1519" s="12" t="str">
        <f>HYPERLINK("https://www.boe.es/gazeta/dias/1804/11/06/pdfs/GMD-1804-89.pdf#page=7","Abrir facsímil")</f>
        <v>Abrir facsímil</v>
      </c>
      <c r="K1519" s="15" t="s">
        <v>22</v>
      </c>
    </row>
    <row r="1520" spans="1:11" ht="42" customHeight="1">
      <c r="A1520" s="4" t="s">
        <v>3913</v>
      </c>
      <c r="B1520" s="5" t="s">
        <v>3914</v>
      </c>
      <c r="C1520" s="5" t="s">
        <v>17</v>
      </c>
      <c r="D1520" s="5" t="s">
        <v>18</v>
      </c>
      <c r="E1520" s="5" t="s">
        <v>37</v>
      </c>
      <c r="F1520" s="9">
        <v>29</v>
      </c>
      <c r="G1520" s="9">
        <v>320</v>
      </c>
      <c r="H1520" s="5" t="s">
        <v>20</v>
      </c>
      <c r="I1520" s="5" t="s">
        <v>3915</v>
      </c>
      <c r="J1520" s="12" t="str">
        <f>HYPERLINK("https://www.boe.es/gazeta/dias/1804/04/10/pdfs/GMD-1804-29.pdf#page=10","Abrir facsímil")</f>
        <v>Abrir facsímil</v>
      </c>
      <c r="K1520" s="15" t="s">
        <v>22</v>
      </c>
    </row>
    <row r="1521" spans="1:11" ht="42" customHeight="1">
      <c r="A1521" s="4" t="s">
        <v>3916</v>
      </c>
      <c r="B1521" s="5" t="s">
        <v>3917</v>
      </c>
      <c r="C1521" s="5" t="s">
        <v>17</v>
      </c>
      <c r="D1521" s="5" t="s">
        <v>18</v>
      </c>
      <c r="E1521" s="5" t="s">
        <v>29</v>
      </c>
      <c r="F1521" s="9">
        <v>88</v>
      </c>
      <c r="G1521" s="9">
        <v>974</v>
      </c>
      <c r="H1521" s="5" t="s">
        <v>20</v>
      </c>
      <c r="I1521" s="5" t="s">
        <v>3918</v>
      </c>
      <c r="J1521" s="12" t="str">
        <f>HYPERLINK("https://www.boe.es/gazeta/dias/1804/11/02/pdfs/GMD-1804-88.pdf#page=6","Abrir facsímil")</f>
        <v>Abrir facsímil</v>
      </c>
      <c r="K1521" s="15" t="s">
        <v>22</v>
      </c>
    </row>
    <row r="1522" spans="1:11" ht="42" customHeight="1">
      <c r="A1522" s="4" t="s">
        <v>3919</v>
      </c>
      <c r="B1522" s="5" t="s">
        <v>3919</v>
      </c>
      <c r="C1522" s="5" t="s">
        <v>27</v>
      </c>
      <c r="D1522" s="5" t="s">
        <v>28</v>
      </c>
      <c r="E1522" s="5" t="s">
        <v>308</v>
      </c>
      <c r="F1522" s="9">
        <v>96</v>
      </c>
      <c r="G1522" s="9">
        <v>1066</v>
      </c>
      <c r="H1522" s="5" t="s">
        <v>20</v>
      </c>
      <c r="I1522" s="5" t="s">
        <v>3920</v>
      </c>
      <c r="J1522" s="12" t="str">
        <f>HYPERLINK("https://www.boe.es/gazeta/dias/1804/11/30/pdfs/GMD-1804-96.pdf#page=6","Abrir facsímil")</f>
        <v>Abrir facsímil</v>
      </c>
      <c r="K1522" s="15" t="s">
        <v>22</v>
      </c>
    </row>
    <row r="1523" spans="1:11" ht="42" customHeight="1">
      <c r="A1523" s="4" t="s">
        <v>3921</v>
      </c>
      <c r="B1523" s="5" t="s">
        <v>3922</v>
      </c>
      <c r="C1523" s="5" t="s">
        <v>17</v>
      </c>
      <c r="D1523" s="5" t="s">
        <v>18</v>
      </c>
      <c r="E1523" s="5" t="s">
        <v>378</v>
      </c>
      <c r="F1523" s="9">
        <v>65</v>
      </c>
      <c r="G1523" s="9">
        <v>732</v>
      </c>
      <c r="H1523" s="5" t="s">
        <v>20</v>
      </c>
      <c r="I1523" s="5" t="s">
        <v>3923</v>
      </c>
      <c r="J1523" s="12" t="str">
        <f>HYPERLINK("https://www.boe.es/gazeta/dias/1804/08/14/pdfs/GMD-1804-65.pdf#page=10","Abrir facsímil")</f>
        <v>Abrir facsímil</v>
      </c>
      <c r="K1523" s="15" t="s">
        <v>22</v>
      </c>
    </row>
    <row r="1524" spans="1:11" ht="42" customHeight="1">
      <c r="A1524" s="4" t="s">
        <v>3924</v>
      </c>
      <c r="B1524" s="5" t="s">
        <v>3925</v>
      </c>
      <c r="C1524" s="5" t="s">
        <v>57</v>
      </c>
      <c r="D1524" s="5" t="s">
        <v>58</v>
      </c>
      <c r="E1524" s="5" t="s">
        <v>212</v>
      </c>
      <c r="F1524" s="9">
        <v>89</v>
      </c>
      <c r="G1524" s="9">
        <v>988</v>
      </c>
      <c r="H1524" s="5" t="s">
        <v>20</v>
      </c>
      <c r="I1524" s="5" t="s">
        <v>3926</v>
      </c>
      <c r="J1524" s="12" t="str">
        <f>HYPERLINK("https://www.boe.es/gazeta/dias/1804/11/06/pdfs/GMD-1804-89.pdf#page=8","Abrir facsímil")</f>
        <v>Abrir facsímil</v>
      </c>
      <c r="K1524" s="15" t="s">
        <v>22</v>
      </c>
    </row>
    <row r="1525" spans="1:11" ht="42" customHeight="1">
      <c r="A1525" s="4" t="s">
        <v>3924</v>
      </c>
      <c r="B1525" s="5" t="s">
        <v>3925</v>
      </c>
      <c r="C1525" s="5" t="s">
        <v>57</v>
      </c>
      <c r="D1525" s="5" t="s">
        <v>58</v>
      </c>
      <c r="E1525" s="5" t="s">
        <v>208</v>
      </c>
      <c r="F1525" s="9">
        <v>97</v>
      </c>
      <c r="G1525" s="9">
        <v>1078</v>
      </c>
      <c r="H1525" s="5" t="s">
        <v>20</v>
      </c>
      <c r="I1525" s="5" t="s">
        <v>3927</v>
      </c>
      <c r="J1525" s="12" t="str">
        <f>HYPERLINK("https://www.boe.es/gazeta/dias/1804/12/04/pdfs/GMD-1804-97.pdf#page=6","Abrir facsímil")</f>
        <v>Abrir facsímil</v>
      </c>
      <c r="K1525" s="15" t="s">
        <v>22</v>
      </c>
    </row>
    <row r="1526" spans="1:11" ht="42" customHeight="1">
      <c r="A1526" s="4" t="s">
        <v>3928</v>
      </c>
      <c r="B1526" s="5" t="s">
        <v>3929</v>
      </c>
      <c r="C1526" s="5" t="s">
        <v>27</v>
      </c>
      <c r="D1526" s="5" t="s">
        <v>28</v>
      </c>
      <c r="E1526" s="5" t="s">
        <v>136</v>
      </c>
      <c r="F1526" s="9">
        <v>23</v>
      </c>
      <c r="G1526" s="9">
        <v>261</v>
      </c>
      <c r="H1526" s="5" t="s">
        <v>20</v>
      </c>
      <c r="I1526" s="5" t="s">
        <v>3930</v>
      </c>
      <c r="J1526" s="12" t="str">
        <f>HYPERLINK("https://www.boe.es/gazeta/dias/1804/03/20/pdfs/GMD-1804-23.pdf#page=7","Abrir facsímil")</f>
        <v>Abrir facsímil</v>
      </c>
      <c r="K1526" s="15" t="s">
        <v>22</v>
      </c>
    </row>
    <row r="1527" spans="1:11" ht="42" customHeight="1">
      <c r="A1527" s="4" t="s">
        <v>3931</v>
      </c>
      <c r="B1527" s="5" t="s">
        <v>3932</v>
      </c>
      <c r="C1527" s="5" t="s">
        <v>198</v>
      </c>
      <c r="D1527" s="5" t="s">
        <v>66</v>
      </c>
      <c r="E1527" s="5" t="s">
        <v>59</v>
      </c>
      <c r="F1527" s="9">
        <v>55</v>
      </c>
      <c r="G1527" s="9">
        <v>613</v>
      </c>
      <c r="H1527" s="5" t="s">
        <v>20</v>
      </c>
      <c r="I1527" s="5" t="s">
        <v>3933</v>
      </c>
      <c r="J1527" s="12" t="str">
        <f>HYPERLINK("https://www.boe.es/gazeta/dias/1804/07/10/pdfs/GMD-1804-55.pdf#page=11","Abrir facsímil")</f>
        <v>Abrir facsímil</v>
      </c>
      <c r="K1527" s="15" t="s">
        <v>22</v>
      </c>
    </row>
    <row r="1528" spans="1:11" ht="42" customHeight="1">
      <c r="A1528" s="4" t="s">
        <v>3934</v>
      </c>
      <c r="B1528" s="5" t="s">
        <v>3935</v>
      </c>
      <c r="C1528" s="5" t="s">
        <v>17</v>
      </c>
      <c r="D1528" s="5" t="s">
        <v>18</v>
      </c>
      <c r="E1528" s="5" t="s">
        <v>71</v>
      </c>
      <c r="F1528" s="9">
        <v>99</v>
      </c>
      <c r="G1528" s="9">
        <v>1106</v>
      </c>
      <c r="H1528" s="5" t="s">
        <v>20</v>
      </c>
      <c r="I1528" s="5" t="s">
        <v>3936</v>
      </c>
      <c r="J1528" s="12" t="str">
        <f>HYPERLINK("https://www.boe.es/gazeta/dias/1804/12/11/pdfs/GMD-1804-99.pdf#page=6","Abrir facsímil")</f>
        <v>Abrir facsímil</v>
      </c>
      <c r="K1528" s="15" t="s">
        <v>22</v>
      </c>
    </row>
    <row r="1529" spans="1:11" ht="42" customHeight="1">
      <c r="A1529" s="4" t="s">
        <v>3937</v>
      </c>
      <c r="B1529" s="5" t="s">
        <v>3938</v>
      </c>
      <c r="C1529" s="5" t="s">
        <v>65</v>
      </c>
      <c r="D1529" s="5" t="s">
        <v>66</v>
      </c>
      <c r="E1529" s="5" t="s">
        <v>19</v>
      </c>
      <c r="F1529" s="9">
        <v>60</v>
      </c>
      <c r="G1529" s="9">
        <v>669</v>
      </c>
      <c r="H1529" s="5" t="s">
        <v>20</v>
      </c>
      <c r="I1529" s="5" t="s">
        <v>3939</v>
      </c>
      <c r="J1529" s="12" t="str">
        <f>HYPERLINK("https://www.boe.es/gazeta/dias/1804/07/27/pdfs/GMD-1804-60.pdf#page=11","Abrir facsímil")</f>
        <v>Abrir facsímil</v>
      </c>
      <c r="K1529" s="15" t="s">
        <v>22</v>
      </c>
    </row>
    <row r="1530" spans="1:11" ht="42" customHeight="1">
      <c r="A1530" s="4" t="s">
        <v>3940</v>
      </c>
      <c r="B1530" s="5" t="s">
        <v>3941</v>
      </c>
      <c r="C1530" s="5" t="s">
        <v>17</v>
      </c>
      <c r="D1530" s="5" t="s">
        <v>18</v>
      </c>
      <c r="E1530" s="5" t="s">
        <v>800</v>
      </c>
      <c r="F1530" s="9">
        <v>45</v>
      </c>
      <c r="G1530" s="9">
        <v>500</v>
      </c>
      <c r="H1530" s="5" t="s">
        <v>20</v>
      </c>
      <c r="I1530" s="5" t="s">
        <v>3942</v>
      </c>
      <c r="J1530" s="12" t="str">
        <f>HYPERLINK("https://www.boe.es/gazeta/dias/1804/06/05/pdfs/GMD-1804-45.pdf#page=10","Abrir facsímil")</f>
        <v>Abrir facsímil</v>
      </c>
      <c r="K1530" s="15" t="s">
        <v>22</v>
      </c>
    </row>
    <row r="1531" spans="1:11" ht="42" customHeight="1">
      <c r="A1531" s="4" t="s">
        <v>3943</v>
      </c>
      <c r="B1531" s="5" t="s">
        <v>3944</v>
      </c>
      <c r="C1531" s="5" t="s">
        <v>27</v>
      </c>
      <c r="D1531" s="5" t="s">
        <v>28</v>
      </c>
      <c r="E1531" s="5" t="s">
        <v>222</v>
      </c>
      <c r="F1531" s="9">
        <v>4</v>
      </c>
      <c r="G1531" s="9">
        <v>38</v>
      </c>
      <c r="H1531" s="5" t="s">
        <v>20</v>
      </c>
      <c r="I1531" s="5" t="s">
        <v>3945</v>
      </c>
      <c r="J1531" s="12" t="str">
        <f>HYPERLINK("https://www.boe.es/gazeta/dias/1804/01/13/pdfs/GMD-1804-4.pdf#page=10","Abrir facsímil")</f>
        <v>Abrir facsímil</v>
      </c>
      <c r="K1531" s="15" t="s">
        <v>22</v>
      </c>
    </row>
    <row r="1532" spans="1:11" ht="42" customHeight="1">
      <c r="A1532" s="4" t="s">
        <v>3946</v>
      </c>
      <c r="B1532" s="5" t="s">
        <v>3947</v>
      </c>
      <c r="C1532" s="5" t="s">
        <v>17</v>
      </c>
      <c r="D1532" s="5" t="s">
        <v>18</v>
      </c>
      <c r="E1532" s="5" t="s">
        <v>388</v>
      </c>
      <c r="F1532" s="9">
        <v>18</v>
      </c>
      <c r="G1532" s="9">
        <v>198</v>
      </c>
      <c r="H1532" s="5" t="s">
        <v>20</v>
      </c>
      <c r="I1532" s="5" t="s">
        <v>3948</v>
      </c>
      <c r="J1532" s="12" t="str">
        <f>HYPERLINK("https://www.boe.es/gazeta/dias/1804/03/02/pdfs/GMD-1804-18.pdf#page=10","Abrir facsímil")</f>
        <v>Abrir facsímil</v>
      </c>
      <c r="K1532" s="15" t="s">
        <v>22</v>
      </c>
    </row>
    <row r="1533" spans="1:11" ht="42" customHeight="1">
      <c r="A1533" s="4" t="s">
        <v>3949</v>
      </c>
      <c r="B1533" s="5" t="s">
        <v>3950</v>
      </c>
      <c r="C1533" s="5" t="s">
        <v>17</v>
      </c>
      <c r="D1533" s="5" t="s">
        <v>18</v>
      </c>
      <c r="E1533" s="5" t="s">
        <v>71</v>
      </c>
      <c r="F1533" s="9">
        <v>99</v>
      </c>
      <c r="G1533" s="9">
        <v>1106</v>
      </c>
      <c r="H1533" s="5" t="s">
        <v>20</v>
      </c>
      <c r="I1533" s="5" t="s">
        <v>3951</v>
      </c>
      <c r="J1533" s="12" t="str">
        <f>HYPERLINK("https://www.boe.es/gazeta/dias/1804/12/11/pdfs/GMD-1804-99.pdf#page=6","Abrir facsímil")</f>
        <v>Abrir facsímil</v>
      </c>
      <c r="K1533" s="15" t="s">
        <v>22</v>
      </c>
    </row>
    <row r="1534" spans="1:11" ht="42" customHeight="1">
      <c r="A1534" s="4" t="s">
        <v>3952</v>
      </c>
      <c r="B1534" s="5" t="s">
        <v>3953</v>
      </c>
      <c r="C1534" s="5" t="s">
        <v>27</v>
      </c>
      <c r="D1534" s="5" t="s">
        <v>28</v>
      </c>
      <c r="E1534" s="5" t="s">
        <v>245</v>
      </c>
      <c r="F1534" s="9">
        <v>6</v>
      </c>
      <c r="G1534" s="9">
        <v>58</v>
      </c>
      <c r="H1534" s="5" t="s">
        <v>20</v>
      </c>
      <c r="I1534" s="5" t="s">
        <v>3954</v>
      </c>
      <c r="J1534" s="12" t="str">
        <f>HYPERLINK("https://www.boe.es/gazeta/dias/1804/01/20/pdfs/GMD-1804-6.pdf#page=10","Abrir facsímil")</f>
        <v>Abrir facsímil</v>
      </c>
      <c r="K1534" s="15" t="s">
        <v>22</v>
      </c>
    </row>
    <row r="1535" spans="1:11" ht="42" customHeight="1">
      <c r="A1535" s="4" t="s">
        <v>3955</v>
      </c>
      <c r="B1535" s="5" t="s">
        <v>3956</v>
      </c>
      <c r="C1535" s="5" t="s">
        <v>27</v>
      </c>
      <c r="D1535" s="5" t="s">
        <v>28</v>
      </c>
      <c r="E1535" s="5" t="s">
        <v>91</v>
      </c>
      <c r="F1535" s="9">
        <v>72</v>
      </c>
      <c r="G1535" s="9">
        <v>807</v>
      </c>
      <c r="H1535" s="5" t="s">
        <v>20</v>
      </c>
      <c r="I1535" s="5" t="s">
        <v>3957</v>
      </c>
      <c r="J1535" s="12" t="str">
        <f>HYPERLINK("https://www.boe.es/gazeta/dias/1804/09/07/pdfs/GMD-1804-72.pdf#page=9","Abrir facsímil")</f>
        <v>Abrir facsímil</v>
      </c>
      <c r="K1535" s="15" t="s">
        <v>22</v>
      </c>
    </row>
    <row r="1536" spans="1:11" ht="42" customHeight="1">
      <c r="A1536" s="4" t="s">
        <v>3958</v>
      </c>
      <c r="B1536" s="5" t="s">
        <v>3959</v>
      </c>
      <c r="C1536" s="5" t="s">
        <v>17</v>
      </c>
      <c r="D1536" s="5" t="s">
        <v>18</v>
      </c>
      <c r="E1536" s="5" t="s">
        <v>699</v>
      </c>
      <c r="F1536" s="9">
        <v>2</v>
      </c>
      <c r="G1536" s="9">
        <v>19</v>
      </c>
      <c r="H1536" s="5" t="s">
        <v>20</v>
      </c>
      <c r="I1536" s="5" t="s">
        <v>3960</v>
      </c>
      <c r="J1536" s="12" t="str">
        <f>HYPERLINK("https://www.boe.es/gazeta/dias/1804/01/06/pdfs/GMD-1804-2.pdf#page=7","Abrir facsímil")</f>
        <v>Abrir facsímil</v>
      </c>
      <c r="K1536" s="15" t="s">
        <v>22</v>
      </c>
    </row>
    <row r="1537" spans="1:11" ht="42" customHeight="1">
      <c r="A1537" s="4" t="s">
        <v>3961</v>
      </c>
      <c r="B1537" s="5" t="s">
        <v>3962</v>
      </c>
      <c r="C1537" s="5" t="s">
        <v>65</v>
      </c>
      <c r="D1537" s="5" t="s">
        <v>66</v>
      </c>
      <c r="E1537" s="5" t="s">
        <v>339</v>
      </c>
      <c r="F1537" s="9">
        <v>94</v>
      </c>
      <c r="G1537" s="9">
        <v>1038</v>
      </c>
      <c r="H1537" s="5" t="s">
        <v>20</v>
      </c>
      <c r="I1537" s="5" t="s">
        <v>3963</v>
      </c>
      <c r="J1537" s="12" t="str">
        <f>HYPERLINK("https://www.boe.es/gazeta/dias/1804/11/23/pdfs/GMD-1804-94.pdf#page=6","Abrir facsímil")</f>
        <v>Abrir facsímil</v>
      </c>
      <c r="K1537" s="15" t="s">
        <v>22</v>
      </c>
    </row>
    <row r="1538" spans="1:11" ht="42" customHeight="1">
      <c r="A1538" s="4" t="s">
        <v>3964</v>
      </c>
      <c r="B1538" s="5" t="s">
        <v>3965</v>
      </c>
      <c r="C1538" s="5" t="s">
        <v>27</v>
      </c>
      <c r="D1538" s="5" t="s">
        <v>28</v>
      </c>
      <c r="E1538" s="5" t="s">
        <v>1095</v>
      </c>
      <c r="F1538" s="9">
        <v>73</v>
      </c>
      <c r="G1538" s="9">
        <v>819</v>
      </c>
      <c r="H1538" s="5" t="s">
        <v>20</v>
      </c>
      <c r="I1538" s="5" t="s">
        <v>3966</v>
      </c>
      <c r="J1538" s="12" t="str">
        <f>HYPERLINK("https://www.boe.es/gazeta/dias/1804/09/11/pdfs/GMD-1804-73.pdf#page=9","Abrir facsímil")</f>
        <v>Abrir facsímil</v>
      </c>
      <c r="K1538" s="15" t="s">
        <v>22</v>
      </c>
    </row>
    <row r="1539" spans="1:11" ht="42" customHeight="1">
      <c r="A1539" s="4" t="s">
        <v>3967</v>
      </c>
      <c r="B1539" s="5" t="s">
        <v>3968</v>
      </c>
      <c r="C1539" s="5" t="s">
        <v>262</v>
      </c>
      <c r="D1539" s="5" t="s">
        <v>263</v>
      </c>
      <c r="E1539" s="5" t="s">
        <v>264</v>
      </c>
      <c r="F1539" s="9">
        <v>49</v>
      </c>
      <c r="G1539" s="9" t="s">
        <v>3969</v>
      </c>
      <c r="H1539" s="5" t="s">
        <v>20</v>
      </c>
      <c r="I1539" s="5" t="s">
        <v>3970</v>
      </c>
      <c r="J1539" s="12" t="str">
        <f>HYPERLINK("https://www.boe.es/gazeta/dias/1804/06/19/pdfs/GMD-C-1804-49.pdf#page=14","Abrir facsímil")</f>
        <v>Abrir facsímil</v>
      </c>
      <c r="K1539" s="15" t="s">
        <v>22</v>
      </c>
    </row>
    <row r="1540" spans="1:11" ht="42" customHeight="1">
      <c r="A1540" s="4" t="s">
        <v>3971</v>
      </c>
      <c r="B1540" s="5" t="s">
        <v>3972</v>
      </c>
      <c r="C1540" s="5" t="s">
        <v>17</v>
      </c>
      <c r="D1540" s="5" t="s">
        <v>18</v>
      </c>
      <c r="E1540" s="5" t="s">
        <v>71</v>
      </c>
      <c r="F1540" s="9">
        <v>99</v>
      </c>
      <c r="G1540" s="9">
        <v>1107</v>
      </c>
      <c r="H1540" s="5" t="s">
        <v>20</v>
      </c>
      <c r="I1540" s="5" t="s">
        <v>3973</v>
      </c>
      <c r="J1540" s="12" t="str">
        <f>HYPERLINK("https://www.boe.es/gazeta/dias/1804/12/11/pdfs/GMD-1804-99.pdf#page=7","Abrir facsímil")</f>
        <v>Abrir facsímil</v>
      </c>
      <c r="K1540" s="15" t="s">
        <v>22</v>
      </c>
    </row>
    <row r="1541" spans="1:11" ht="42" customHeight="1">
      <c r="A1541" s="4" t="s">
        <v>3974</v>
      </c>
      <c r="B1541" s="5" t="s">
        <v>3975</v>
      </c>
      <c r="C1541" s="5" t="s">
        <v>27</v>
      </c>
      <c r="D1541" s="5" t="s">
        <v>28</v>
      </c>
      <c r="E1541" s="5" t="s">
        <v>23</v>
      </c>
      <c r="F1541" s="9">
        <v>91</v>
      </c>
      <c r="G1541" s="9">
        <v>1009</v>
      </c>
      <c r="H1541" s="5" t="s">
        <v>20</v>
      </c>
      <c r="I1541" s="5" t="s">
        <v>3976</v>
      </c>
      <c r="J1541" s="12" t="str">
        <f>HYPERLINK("https://www.boe.es/gazeta/dias/1804/11/13/pdfs/GMD-1804-91.pdf#page=9","Abrir facsímil")</f>
        <v>Abrir facsímil</v>
      </c>
      <c r="K1541" s="15" t="s">
        <v>22</v>
      </c>
    </row>
    <row r="1542" spans="1:11" ht="42" customHeight="1">
      <c r="A1542" s="4" t="s">
        <v>3977</v>
      </c>
      <c r="B1542" s="5" t="s">
        <v>3978</v>
      </c>
      <c r="C1542" s="5" t="s">
        <v>120</v>
      </c>
      <c r="D1542" s="5" t="s">
        <v>121</v>
      </c>
      <c r="E1542" s="5" t="s">
        <v>33</v>
      </c>
      <c r="F1542" s="9">
        <v>48</v>
      </c>
      <c r="G1542" s="9" t="s">
        <v>98</v>
      </c>
      <c r="H1542" s="5" t="s">
        <v>20</v>
      </c>
      <c r="I1542" s="5" t="s">
        <v>3979</v>
      </c>
      <c r="J1542" s="12" t="str">
        <f>HYPERLINK("https://www.boe.es/gazeta/dias/1804/06/15/pdfs/GMD-C-1804-48.pdf#page=1","Abrir facsímil")</f>
        <v>Abrir facsímil</v>
      </c>
      <c r="K1542" s="15" t="s">
        <v>22</v>
      </c>
    </row>
    <row r="1543" spans="1:11" ht="42" customHeight="1">
      <c r="A1543" s="4" t="s">
        <v>3980</v>
      </c>
      <c r="B1543" s="5" t="s">
        <v>3981</v>
      </c>
      <c r="C1543" s="5" t="s">
        <v>27</v>
      </c>
      <c r="D1543" s="5" t="s">
        <v>28</v>
      </c>
      <c r="E1543" s="5" t="s">
        <v>43</v>
      </c>
      <c r="F1543" s="9">
        <v>84</v>
      </c>
      <c r="G1543" s="9">
        <v>928</v>
      </c>
      <c r="H1543" s="5" t="s">
        <v>20</v>
      </c>
      <c r="I1543" s="5" t="s">
        <v>3982</v>
      </c>
      <c r="J1543" s="12" t="str">
        <f>HYPERLINK("https://www.boe.es/gazeta/dias/1804/10/19/pdfs/GMD-1804-84.pdf#page=6","Abrir facsímil")</f>
        <v>Abrir facsímil</v>
      </c>
      <c r="K1543" s="15" t="s">
        <v>22</v>
      </c>
    </row>
    <row r="1544" spans="1:11" ht="42" customHeight="1">
      <c r="A1544" s="4" t="s">
        <v>3983</v>
      </c>
      <c r="B1544" s="5" t="s">
        <v>3984</v>
      </c>
      <c r="C1544" s="5" t="s">
        <v>198</v>
      </c>
      <c r="D1544" s="5" t="s">
        <v>66</v>
      </c>
      <c r="E1544" s="5" t="s">
        <v>453</v>
      </c>
      <c r="F1544" s="9">
        <v>33</v>
      </c>
      <c r="G1544" s="9">
        <v>368</v>
      </c>
      <c r="H1544" s="5" t="s">
        <v>20</v>
      </c>
      <c r="I1544" s="5" t="s">
        <v>3985</v>
      </c>
      <c r="J1544" s="12" t="str">
        <f>HYPERLINK("https://www.boe.es/gazeta/dias/1804/04/24/pdfs/GMD-1804-33.pdf#page=10","Abrir facsímil")</f>
        <v>Abrir facsímil</v>
      </c>
      <c r="K1544" s="15" t="s">
        <v>22</v>
      </c>
    </row>
    <row r="1545" spans="1:11" ht="42" customHeight="1">
      <c r="A1545" s="4" t="s">
        <v>3986</v>
      </c>
      <c r="B1545" s="5" t="s">
        <v>3987</v>
      </c>
      <c r="C1545" s="5" t="s">
        <v>17</v>
      </c>
      <c r="D1545" s="5" t="s">
        <v>18</v>
      </c>
      <c r="E1545" s="5" t="s">
        <v>29</v>
      </c>
      <c r="F1545" s="9">
        <v>88</v>
      </c>
      <c r="G1545" s="9">
        <v>978</v>
      </c>
      <c r="H1545" s="5" t="s">
        <v>20</v>
      </c>
      <c r="I1545" s="5" t="s">
        <v>3988</v>
      </c>
      <c r="J1545" s="12" t="str">
        <f>HYPERLINK("https://www.boe.es/gazeta/dias/1804/11/02/pdfs/GMD-1804-88.pdf#page=10","Abrir facsímil")</f>
        <v>Abrir facsímil</v>
      </c>
      <c r="K1545" s="15" t="s">
        <v>22</v>
      </c>
    </row>
    <row r="1546" spans="1:11" ht="42" customHeight="1">
      <c r="A1546" s="4" t="s">
        <v>3989</v>
      </c>
      <c r="B1546" s="5" t="s">
        <v>3990</v>
      </c>
      <c r="C1546" s="5" t="s">
        <v>27</v>
      </c>
      <c r="D1546" s="5" t="s">
        <v>28</v>
      </c>
      <c r="E1546" s="5" t="s">
        <v>264</v>
      </c>
      <c r="F1546" s="9">
        <v>49</v>
      </c>
      <c r="G1546" s="9">
        <v>544</v>
      </c>
      <c r="H1546" s="5" t="s">
        <v>20</v>
      </c>
      <c r="I1546" s="5" t="s">
        <v>3991</v>
      </c>
      <c r="J1546" s="12" t="str">
        <f>HYPERLINK("https://www.boe.es/gazeta/dias/1804/06/19/pdfs/GMD-1804-49.pdf#page=6","Abrir facsímil")</f>
        <v>Abrir facsímil</v>
      </c>
      <c r="K1546" s="15" t="s">
        <v>22</v>
      </c>
    </row>
    <row r="1547" spans="1:11" ht="42" customHeight="1">
      <c r="A1547" s="4" t="s">
        <v>3992</v>
      </c>
      <c r="B1547" s="5" t="s">
        <v>3993</v>
      </c>
      <c r="C1547" s="5" t="s">
        <v>17</v>
      </c>
      <c r="D1547" s="5" t="s">
        <v>18</v>
      </c>
      <c r="E1547" s="5" t="s">
        <v>699</v>
      </c>
      <c r="F1547" s="9">
        <v>2</v>
      </c>
      <c r="G1547" s="9">
        <v>18</v>
      </c>
      <c r="H1547" s="5" t="s">
        <v>20</v>
      </c>
      <c r="I1547" s="5" t="s">
        <v>3994</v>
      </c>
      <c r="J1547" s="12" t="str">
        <f>HYPERLINK("https://www.boe.es/gazeta/dias/1804/01/06/pdfs/GMD-1804-2.pdf#page=6","Abrir facsímil")</f>
        <v>Abrir facsímil</v>
      </c>
      <c r="K1547" s="15" t="s">
        <v>22</v>
      </c>
    </row>
    <row r="1548" spans="1:11" ht="42" customHeight="1">
      <c r="A1548" s="4" t="s">
        <v>3995</v>
      </c>
      <c r="B1548" s="5" t="s">
        <v>3996</v>
      </c>
      <c r="C1548" s="5" t="s">
        <v>27</v>
      </c>
      <c r="D1548" s="5" t="s">
        <v>28</v>
      </c>
      <c r="E1548" s="5" t="s">
        <v>258</v>
      </c>
      <c r="F1548" s="9">
        <v>14</v>
      </c>
      <c r="G1548" s="9">
        <v>153</v>
      </c>
      <c r="H1548" s="5" t="s">
        <v>20</v>
      </c>
      <c r="I1548" s="5" t="s">
        <v>3997</v>
      </c>
      <c r="J1548" s="12" t="str">
        <f>HYPERLINK("https://www.boe.es/gazeta/dias/1804/02/17/pdfs/GMD-1804-14.pdf#page=9","Abrir facsímil")</f>
        <v>Abrir facsímil</v>
      </c>
      <c r="K1548" s="15" t="s">
        <v>22</v>
      </c>
    </row>
    <row r="1549" spans="1:11" ht="42" customHeight="1">
      <c r="A1549" s="4" t="s">
        <v>3998</v>
      </c>
      <c r="B1549" s="5" t="s">
        <v>3999</v>
      </c>
      <c r="C1549" s="5" t="s">
        <v>27</v>
      </c>
      <c r="D1549" s="5" t="s">
        <v>28</v>
      </c>
      <c r="E1549" s="5" t="s">
        <v>398</v>
      </c>
      <c r="F1549" s="9">
        <v>22</v>
      </c>
      <c r="G1549" s="9">
        <v>244</v>
      </c>
      <c r="H1549" s="5" t="s">
        <v>20</v>
      </c>
      <c r="I1549" s="5" t="s">
        <v>4000</v>
      </c>
      <c r="J1549" s="12" t="str">
        <f>HYPERLINK("https://www.boe.es/gazeta/dias/1804/03/16/pdfs/GMD-1804-22.pdf#page=8","Abrir facsímil")</f>
        <v>Abrir facsímil</v>
      </c>
      <c r="K1549" s="15" t="s">
        <v>22</v>
      </c>
    </row>
    <row r="1550" spans="1:11" ht="42" customHeight="1">
      <c r="A1550" s="4" t="s">
        <v>4001</v>
      </c>
      <c r="B1550" s="5" t="s">
        <v>4002</v>
      </c>
      <c r="C1550" s="5" t="s">
        <v>17</v>
      </c>
      <c r="D1550" s="5" t="s">
        <v>18</v>
      </c>
      <c r="E1550" s="5" t="s">
        <v>71</v>
      </c>
      <c r="F1550" s="9">
        <v>99</v>
      </c>
      <c r="G1550" s="9">
        <v>1107</v>
      </c>
      <c r="H1550" s="5" t="s">
        <v>20</v>
      </c>
      <c r="I1550" s="5" t="s">
        <v>4003</v>
      </c>
      <c r="J1550" s="12" t="str">
        <f>HYPERLINK("https://www.boe.es/gazeta/dias/1804/12/11/pdfs/GMD-1804-99.pdf#page=7","Abrir facsímil")</f>
        <v>Abrir facsímil</v>
      </c>
      <c r="K1550" s="15" t="s">
        <v>22</v>
      </c>
    </row>
    <row r="1551" spans="1:11" ht="42" customHeight="1">
      <c r="A1551" s="4" t="s">
        <v>4004</v>
      </c>
      <c r="B1551" s="5" t="s">
        <v>4005</v>
      </c>
      <c r="C1551" s="5" t="s">
        <v>65</v>
      </c>
      <c r="D1551" s="5" t="s">
        <v>66</v>
      </c>
      <c r="E1551" s="5" t="s">
        <v>136</v>
      </c>
      <c r="F1551" s="9">
        <v>23</v>
      </c>
      <c r="G1551" s="9">
        <v>261</v>
      </c>
      <c r="H1551" s="5" t="s">
        <v>20</v>
      </c>
      <c r="I1551" s="5" t="s">
        <v>4006</v>
      </c>
      <c r="J1551" s="12" t="str">
        <f>HYPERLINK("https://www.boe.es/gazeta/dias/1804/03/20/pdfs/GMD-1804-23.pdf#page=7","Abrir facsímil")</f>
        <v>Abrir facsímil</v>
      </c>
      <c r="K1551" s="15" t="s">
        <v>22</v>
      </c>
    </row>
    <row r="1552" spans="1:11" ht="42" customHeight="1">
      <c r="A1552" s="4" t="s">
        <v>4007</v>
      </c>
      <c r="B1552" s="5" t="s">
        <v>4008</v>
      </c>
      <c r="C1552" s="5" t="s">
        <v>27</v>
      </c>
      <c r="D1552" s="5" t="s">
        <v>28</v>
      </c>
      <c r="E1552" s="5" t="s">
        <v>538</v>
      </c>
      <c r="F1552" s="9">
        <v>27</v>
      </c>
      <c r="G1552" s="9">
        <v>300</v>
      </c>
      <c r="H1552" s="5" t="s">
        <v>20</v>
      </c>
      <c r="I1552" s="5" t="s">
        <v>4009</v>
      </c>
      <c r="J1552" s="12" t="str">
        <f>HYPERLINK("https://www.boe.es/gazeta/dias/1804/04/03/pdfs/GMD-1804-27.pdf#page=6","Abrir facsímil")</f>
        <v>Abrir facsímil</v>
      </c>
      <c r="K1552" s="15" t="s">
        <v>22</v>
      </c>
    </row>
    <row r="1553" spans="1:11" ht="42" customHeight="1">
      <c r="A1553" s="4" t="s">
        <v>4010</v>
      </c>
      <c r="B1553" s="5" t="s">
        <v>4011</v>
      </c>
      <c r="C1553" s="5" t="s">
        <v>27</v>
      </c>
      <c r="D1553" s="5" t="s">
        <v>28</v>
      </c>
      <c r="E1553" s="5" t="s">
        <v>308</v>
      </c>
      <c r="F1553" s="9">
        <v>96</v>
      </c>
      <c r="G1553" s="9">
        <v>1067</v>
      </c>
      <c r="H1553" s="5" t="s">
        <v>20</v>
      </c>
      <c r="I1553" s="5" t="s">
        <v>4012</v>
      </c>
      <c r="J1553" s="12" t="str">
        <f>HYPERLINK("https://www.boe.es/gazeta/dias/1804/11/30/pdfs/GMD-1804-96.pdf#page=7","Abrir facsímil")</f>
        <v>Abrir facsímil</v>
      </c>
      <c r="K1553" s="15" t="s">
        <v>22</v>
      </c>
    </row>
    <row r="1554" spans="1:11" ht="42" customHeight="1">
      <c r="A1554" s="4" t="s">
        <v>4013</v>
      </c>
      <c r="B1554" s="5" t="s">
        <v>4014</v>
      </c>
      <c r="C1554" s="5" t="s">
        <v>17</v>
      </c>
      <c r="D1554" s="5" t="s">
        <v>18</v>
      </c>
      <c r="E1554" s="5" t="s">
        <v>159</v>
      </c>
      <c r="F1554" s="9">
        <v>15</v>
      </c>
      <c r="G1554" s="9">
        <v>163</v>
      </c>
      <c r="H1554" s="5" t="s">
        <v>20</v>
      </c>
      <c r="I1554" s="5" t="s">
        <v>4015</v>
      </c>
      <c r="J1554" s="12" t="str">
        <f>HYPERLINK("https://www.boe.es/gazeta/dias/1804/02/21/pdfs/GMD-1804-15.pdf#page=7","Abrir facsímil")</f>
        <v>Abrir facsímil</v>
      </c>
      <c r="K1554" s="15" t="s">
        <v>22</v>
      </c>
    </row>
    <row r="1555" spans="1:11" ht="42" customHeight="1">
      <c r="A1555" s="4" t="s">
        <v>4016</v>
      </c>
      <c r="B1555" s="5" t="s">
        <v>4017</v>
      </c>
      <c r="C1555" s="5" t="s">
        <v>27</v>
      </c>
      <c r="D1555" s="5" t="s">
        <v>28</v>
      </c>
      <c r="E1555" s="5" t="s">
        <v>272</v>
      </c>
      <c r="F1555" s="9">
        <v>30</v>
      </c>
      <c r="G1555" s="9">
        <v>332</v>
      </c>
      <c r="H1555" s="5" t="s">
        <v>20</v>
      </c>
      <c r="I1555" s="5" t="s">
        <v>4018</v>
      </c>
      <c r="J1555" s="12" t="str">
        <f>HYPERLINK("https://www.boe.es/gazeta/dias/1804/04/13/pdfs/GMD-1804-30.pdf#page=10","Abrir facsímil")</f>
        <v>Abrir facsímil</v>
      </c>
      <c r="K1555" s="15" t="s">
        <v>22</v>
      </c>
    </row>
    <row r="1556" spans="1:11" ht="42" customHeight="1">
      <c r="A1556" s="4" t="s">
        <v>4019</v>
      </c>
      <c r="B1556" s="5" t="s">
        <v>4020</v>
      </c>
      <c r="C1556" s="5" t="s">
        <v>65</v>
      </c>
      <c r="D1556" s="5" t="s">
        <v>66</v>
      </c>
      <c r="E1556" s="5" t="s">
        <v>91</v>
      </c>
      <c r="F1556" s="9">
        <v>72</v>
      </c>
      <c r="G1556" s="9">
        <v>805</v>
      </c>
      <c r="H1556" s="5" t="s">
        <v>20</v>
      </c>
      <c r="I1556" s="5" t="s">
        <v>4021</v>
      </c>
      <c r="J1556" s="12" t="str">
        <f>HYPERLINK("https://www.boe.es/gazeta/dias/1804/09/07/pdfs/GMD-1804-72.pdf#page=7","Abrir facsímil")</f>
        <v>Abrir facsímil</v>
      </c>
      <c r="K1556" s="15" t="s">
        <v>22</v>
      </c>
    </row>
    <row r="1557" spans="1:11" ht="42" customHeight="1">
      <c r="A1557" s="4" t="s">
        <v>4022</v>
      </c>
      <c r="B1557" s="5" t="s">
        <v>4023</v>
      </c>
      <c r="C1557" s="5" t="s">
        <v>85</v>
      </c>
      <c r="D1557" s="5" t="s">
        <v>86</v>
      </c>
      <c r="E1557" s="5" t="s">
        <v>332</v>
      </c>
      <c r="F1557" s="9">
        <v>66</v>
      </c>
      <c r="G1557" s="9">
        <v>742</v>
      </c>
      <c r="H1557" s="5" t="s">
        <v>20</v>
      </c>
      <c r="I1557" s="5" t="s">
        <v>4024</v>
      </c>
      <c r="J1557" s="12" t="str">
        <f>HYPERLINK("https://www.boe.es/gazeta/dias/1804/08/17/pdfs/GMD-1804-66.pdf#page=8","Abrir facsímil")</f>
        <v>Abrir facsímil</v>
      </c>
      <c r="K1557" s="15" t="s">
        <v>22</v>
      </c>
    </row>
    <row r="1558" spans="1:11" ht="42" customHeight="1">
      <c r="A1558" s="4" t="s">
        <v>4025</v>
      </c>
      <c r="B1558" s="5" t="s">
        <v>4026</v>
      </c>
      <c r="C1558" s="5" t="s">
        <v>65</v>
      </c>
      <c r="D1558" s="5" t="s">
        <v>66</v>
      </c>
      <c r="E1558" s="5" t="s">
        <v>326</v>
      </c>
      <c r="F1558" s="9">
        <v>69</v>
      </c>
      <c r="G1558" s="9">
        <v>775</v>
      </c>
      <c r="H1558" s="5" t="s">
        <v>20</v>
      </c>
      <c r="I1558" s="5" t="s">
        <v>4027</v>
      </c>
      <c r="J1558" s="12" t="str">
        <f>HYPERLINK("https://www.boe.es/gazeta/dias/1804/08/28/pdfs/GMD-1804-69.pdf#page=9","Abrir facsímil")</f>
        <v>Abrir facsímil</v>
      </c>
      <c r="K1558" s="15" t="s">
        <v>22</v>
      </c>
    </row>
    <row r="1559" spans="1:11" ht="42" customHeight="1">
      <c r="A1559" s="4" t="s">
        <v>4028</v>
      </c>
      <c r="B1559" s="5" t="s">
        <v>4029</v>
      </c>
      <c r="C1559" s="5" t="s">
        <v>27</v>
      </c>
      <c r="D1559" s="5" t="s">
        <v>28</v>
      </c>
      <c r="E1559" s="5" t="s">
        <v>208</v>
      </c>
      <c r="F1559" s="9">
        <v>97</v>
      </c>
      <c r="G1559" s="9">
        <v>1081</v>
      </c>
      <c r="H1559" s="5" t="s">
        <v>20</v>
      </c>
      <c r="I1559" s="5" t="s">
        <v>4030</v>
      </c>
      <c r="J1559" s="12" t="str">
        <f>HYPERLINK("https://www.boe.es/gazeta/dias/1804/12/04/pdfs/GMD-1804-97.pdf#page=9","Abrir facsímil")</f>
        <v>Abrir facsímil</v>
      </c>
      <c r="K1559" s="15" t="s">
        <v>22</v>
      </c>
    </row>
    <row r="1560" spans="1:11" ht="42" customHeight="1">
      <c r="A1560" s="4" t="s">
        <v>4031</v>
      </c>
      <c r="B1560" s="5" t="s">
        <v>4032</v>
      </c>
      <c r="C1560" s="5" t="s">
        <v>65</v>
      </c>
      <c r="D1560" s="5" t="s">
        <v>66</v>
      </c>
      <c r="E1560" s="5" t="s">
        <v>326</v>
      </c>
      <c r="F1560" s="9">
        <v>69</v>
      </c>
      <c r="G1560" s="9">
        <v>775</v>
      </c>
      <c r="H1560" s="5" t="s">
        <v>20</v>
      </c>
      <c r="I1560" s="5" t="s">
        <v>4033</v>
      </c>
      <c r="J1560" s="12" t="str">
        <f>HYPERLINK("https://www.boe.es/gazeta/dias/1804/08/28/pdfs/GMD-1804-69.pdf#page=9","Abrir facsímil")</f>
        <v>Abrir facsímil</v>
      </c>
      <c r="K1560" s="15" t="s">
        <v>22</v>
      </c>
    </row>
    <row r="1561" spans="1:11" ht="42" customHeight="1">
      <c r="A1561" s="4" t="s">
        <v>4034</v>
      </c>
      <c r="B1561" s="5" t="s">
        <v>4035</v>
      </c>
      <c r="C1561" s="5" t="s">
        <v>17</v>
      </c>
      <c r="D1561" s="5" t="s">
        <v>18</v>
      </c>
      <c r="E1561" s="5" t="s">
        <v>71</v>
      </c>
      <c r="F1561" s="9">
        <v>99</v>
      </c>
      <c r="G1561" s="9">
        <v>1107</v>
      </c>
      <c r="H1561" s="5" t="s">
        <v>20</v>
      </c>
      <c r="I1561" s="5" t="s">
        <v>4036</v>
      </c>
      <c r="J1561" s="12" t="str">
        <f>HYPERLINK("https://www.boe.es/gazeta/dias/1804/12/11/pdfs/GMD-1804-99.pdf#page=7","Abrir facsímil")</f>
        <v>Abrir facsímil</v>
      </c>
      <c r="K1561" s="15" t="s">
        <v>22</v>
      </c>
    </row>
    <row r="1562" spans="1:11" ht="42" customHeight="1">
      <c r="A1562" s="4" t="s">
        <v>4037</v>
      </c>
      <c r="B1562" s="5" t="s">
        <v>4038</v>
      </c>
      <c r="C1562" s="5" t="s">
        <v>65</v>
      </c>
      <c r="D1562" s="5" t="s">
        <v>66</v>
      </c>
      <c r="E1562" s="5" t="s">
        <v>320</v>
      </c>
      <c r="F1562" s="9">
        <v>31</v>
      </c>
      <c r="G1562" s="9">
        <v>343</v>
      </c>
      <c r="H1562" s="5" t="s">
        <v>20</v>
      </c>
      <c r="I1562" s="5" t="s">
        <v>4039</v>
      </c>
      <c r="J1562" s="12" t="str">
        <f>HYPERLINK("https://www.boe.es/gazeta/dias/1804/04/17/pdfs/GMD-1804-31.pdf#page=9","Abrir facsímil")</f>
        <v>Abrir facsímil</v>
      </c>
      <c r="K1562" s="15" t="s">
        <v>22</v>
      </c>
    </row>
    <row r="1563" spans="1:11" ht="42" customHeight="1">
      <c r="A1563" s="4" t="s">
        <v>4040</v>
      </c>
      <c r="B1563" s="5" t="s">
        <v>4041</v>
      </c>
      <c r="C1563" s="5" t="s">
        <v>65</v>
      </c>
      <c r="D1563" s="5" t="s">
        <v>66</v>
      </c>
      <c r="E1563" s="5" t="s">
        <v>208</v>
      </c>
      <c r="F1563" s="9">
        <v>97</v>
      </c>
      <c r="G1563" s="9">
        <v>1081</v>
      </c>
      <c r="H1563" s="5" t="s">
        <v>20</v>
      </c>
      <c r="I1563" s="5" t="s">
        <v>4042</v>
      </c>
      <c r="J1563" s="12" t="str">
        <f>HYPERLINK("https://www.boe.es/gazeta/dias/1804/12/04/pdfs/GMD-1804-97.pdf#page=9","Abrir facsímil")</f>
        <v>Abrir facsímil</v>
      </c>
      <c r="K1563" s="15" t="s">
        <v>22</v>
      </c>
    </row>
    <row r="1564" spans="1:11" ht="42" customHeight="1">
      <c r="A1564" s="4" t="s">
        <v>4043</v>
      </c>
      <c r="B1564" s="5" t="s">
        <v>4044</v>
      </c>
      <c r="C1564" s="5" t="s">
        <v>85</v>
      </c>
      <c r="D1564" s="5" t="s">
        <v>86</v>
      </c>
      <c r="E1564" s="5" t="s">
        <v>704</v>
      </c>
      <c r="F1564" s="9">
        <v>36</v>
      </c>
      <c r="G1564" s="9">
        <v>402</v>
      </c>
      <c r="H1564" s="5" t="s">
        <v>20</v>
      </c>
      <c r="I1564" s="5" t="s">
        <v>4045</v>
      </c>
      <c r="J1564" s="12" t="str">
        <f>HYPERLINK("https://www.boe.es/gazeta/dias/1804/05/04/pdfs/GMD-1804-36.pdf#page=12","Abrir facsímil")</f>
        <v>Abrir facsímil</v>
      </c>
      <c r="K1564" s="15" t="s">
        <v>22</v>
      </c>
    </row>
    <row r="1565" spans="1:11" ht="42" customHeight="1">
      <c r="A1565" s="4" t="s">
        <v>4046</v>
      </c>
      <c r="B1565" s="5" t="s">
        <v>4046</v>
      </c>
      <c r="C1565" s="5" t="s">
        <v>17</v>
      </c>
      <c r="D1565" s="5" t="s">
        <v>18</v>
      </c>
      <c r="E1565" s="5" t="s">
        <v>666</v>
      </c>
      <c r="F1565" s="9">
        <v>57</v>
      </c>
      <c r="G1565" s="9">
        <v>631</v>
      </c>
      <c r="H1565" s="5" t="s">
        <v>20</v>
      </c>
      <c r="I1565" s="5" t="s">
        <v>4047</v>
      </c>
      <c r="J1565" s="12" t="str">
        <f>HYPERLINK("https://www.boe.es/gazeta/dias/1804/07/17/pdfs/GMD-1804-57.pdf#page=9","Abrir facsímil")</f>
        <v>Abrir facsímil</v>
      </c>
      <c r="K1565" s="15" t="s">
        <v>22</v>
      </c>
    </row>
    <row r="1566" spans="1:11" ht="42" customHeight="1">
      <c r="A1566" s="4" t="s">
        <v>4048</v>
      </c>
      <c r="B1566" s="5" t="s">
        <v>4048</v>
      </c>
      <c r="C1566" s="5" t="s">
        <v>27</v>
      </c>
      <c r="D1566" s="5" t="s">
        <v>28</v>
      </c>
      <c r="E1566" s="5" t="s">
        <v>175</v>
      </c>
      <c r="F1566" s="9">
        <v>58</v>
      </c>
      <c r="G1566" s="9">
        <v>637</v>
      </c>
      <c r="H1566" s="5" t="s">
        <v>20</v>
      </c>
      <c r="I1566" s="5" t="s">
        <v>4049</v>
      </c>
      <c r="J1566" s="12" t="str">
        <f>HYPERLINK("https://www.boe.es/gazeta/dias/1804/07/20/pdfs/GMD-1804-58.pdf#page=3","Abrir facsímil")</f>
        <v>Abrir facsímil</v>
      </c>
      <c r="K1566" s="15" t="s">
        <v>22</v>
      </c>
    </row>
    <row r="1567" spans="1:11" ht="42" customHeight="1">
      <c r="A1567" s="4" t="s">
        <v>4050</v>
      </c>
      <c r="B1567" s="5" t="s">
        <v>4050</v>
      </c>
      <c r="C1567" s="5" t="s">
        <v>27</v>
      </c>
      <c r="D1567" s="5" t="s">
        <v>28</v>
      </c>
      <c r="E1567" s="5" t="s">
        <v>151</v>
      </c>
      <c r="F1567" s="9">
        <v>13</v>
      </c>
      <c r="G1567" s="9">
        <v>141</v>
      </c>
      <c r="H1567" s="5" t="s">
        <v>20</v>
      </c>
      <c r="I1567" s="5" t="s">
        <v>4051</v>
      </c>
      <c r="J1567" s="12" t="str">
        <f>HYPERLINK("https://www.boe.es/gazeta/dias/1804/02/14/pdfs/GMD-1804-13.pdf#page=5","Abrir facsímil")</f>
        <v>Abrir facsímil</v>
      </c>
      <c r="K1567" s="15" t="s">
        <v>22</v>
      </c>
    </row>
    <row r="1568" spans="1:11" ht="42" customHeight="1">
      <c r="A1568" s="4" t="s">
        <v>4052</v>
      </c>
      <c r="B1568" s="5" t="s">
        <v>4053</v>
      </c>
      <c r="C1568" s="5" t="s">
        <v>27</v>
      </c>
      <c r="D1568" s="5" t="s">
        <v>28</v>
      </c>
      <c r="E1568" s="5" t="s">
        <v>490</v>
      </c>
      <c r="F1568" s="9">
        <v>100</v>
      </c>
      <c r="G1568" s="9">
        <v>1119</v>
      </c>
      <c r="H1568" s="5" t="s">
        <v>20</v>
      </c>
      <c r="I1568" s="5" t="s">
        <v>4054</v>
      </c>
      <c r="J1568" s="12" t="str">
        <f>HYPERLINK("https://www.boe.es/gazeta/dias/1804/12/14/pdfs/GMD-1804-100.pdf#page=11","Abrir facsímil")</f>
        <v>Abrir facsímil</v>
      </c>
      <c r="K1568" s="15" t="s">
        <v>22</v>
      </c>
    </row>
    <row r="1569" spans="1:11" ht="42" customHeight="1">
      <c r="A1569" s="4" t="s">
        <v>4052</v>
      </c>
      <c r="B1569" s="5" t="s">
        <v>4053</v>
      </c>
      <c r="C1569" s="5" t="s">
        <v>27</v>
      </c>
      <c r="D1569" s="5" t="s">
        <v>28</v>
      </c>
      <c r="E1569" s="5" t="s">
        <v>515</v>
      </c>
      <c r="F1569" s="9">
        <v>102</v>
      </c>
      <c r="G1569" s="9">
        <v>1139</v>
      </c>
      <c r="H1569" s="5" t="s">
        <v>20</v>
      </c>
      <c r="I1569" s="5" t="s">
        <v>4055</v>
      </c>
      <c r="J1569" s="12" t="str">
        <f>HYPERLINK("https://www.boe.es/gazeta/dias/1804/12/21/pdfs/GMD-1804-102.pdf#page=7","Abrir facsímil")</f>
        <v>Abrir facsímil</v>
      </c>
      <c r="K1569" s="15" t="s">
        <v>22</v>
      </c>
    </row>
    <row r="1570" spans="1:11" ht="42" customHeight="1">
      <c r="A1570" s="4" t="s">
        <v>4056</v>
      </c>
      <c r="B1570" s="5" t="s">
        <v>4057</v>
      </c>
      <c r="C1570" s="5" t="s">
        <v>27</v>
      </c>
      <c r="D1570" s="5" t="s">
        <v>28</v>
      </c>
      <c r="E1570" s="5" t="s">
        <v>206</v>
      </c>
      <c r="F1570" s="9">
        <v>44</v>
      </c>
      <c r="G1570" s="9">
        <v>488</v>
      </c>
      <c r="H1570" s="5" t="s">
        <v>20</v>
      </c>
      <c r="I1570" s="5" t="s">
        <v>4058</v>
      </c>
      <c r="J1570" s="12" t="str">
        <f>HYPERLINK("https://www.boe.es/gazeta/dias/1804/06/01/pdfs/GMD-1804-44.pdf#page=6","Abrir facsímil")</f>
        <v>Abrir facsímil</v>
      </c>
      <c r="K1570" s="15" t="s">
        <v>22</v>
      </c>
    </row>
    <row r="1571" spans="1:11" ht="42" customHeight="1">
      <c r="A1571" s="4" t="s">
        <v>4059</v>
      </c>
      <c r="B1571" s="5" t="s">
        <v>4060</v>
      </c>
      <c r="C1571" s="5" t="s">
        <v>27</v>
      </c>
      <c r="D1571" s="5" t="s">
        <v>28</v>
      </c>
      <c r="E1571" s="5" t="s">
        <v>163</v>
      </c>
      <c r="F1571" s="9">
        <v>70</v>
      </c>
      <c r="G1571" s="9">
        <v>784</v>
      </c>
      <c r="H1571" s="5" t="s">
        <v>20</v>
      </c>
      <c r="I1571" s="5" t="s">
        <v>4061</v>
      </c>
      <c r="J1571" s="12" t="str">
        <f>HYPERLINK("https://www.boe.es/gazeta/dias/1804/08/31/pdfs/GMD-1804-70.pdf#page=6","Abrir facsímil")</f>
        <v>Abrir facsímil</v>
      </c>
      <c r="K1571" s="15" t="s">
        <v>22</v>
      </c>
    </row>
    <row r="1572" spans="1:11" ht="42" customHeight="1">
      <c r="A1572" s="4" t="s">
        <v>4062</v>
      </c>
      <c r="B1572" s="5" t="s">
        <v>4062</v>
      </c>
      <c r="C1572" s="5" t="s">
        <v>17</v>
      </c>
      <c r="D1572" s="5" t="s">
        <v>18</v>
      </c>
      <c r="E1572" s="5" t="s">
        <v>367</v>
      </c>
      <c r="F1572" s="9">
        <v>64</v>
      </c>
      <c r="G1572" s="9">
        <v>714</v>
      </c>
      <c r="H1572" s="5" t="s">
        <v>20</v>
      </c>
      <c r="I1572" s="5" t="s">
        <v>4063</v>
      </c>
      <c r="J1572" s="12" t="str">
        <f>HYPERLINK("https://www.boe.es/gazeta/dias/1804/08/10/pdfs/GMD-1804-64.pdf#page=8","Abrir facsímil")</f>
        <v>Abrir facsímil</v>
      </c>
      <c r="K1572" s="15" t="s">
        <v>22</v>
      </c>
    </row>
    <row r="1573" spans="1:11" ht="42" customHeight="1">
      <c r="A1573" s="4" t="s">
        <v>4064</v>
      </c>
      <c r="B1573" s="5" t="s">
        <v>4064</v>
      </c>
      <c r="C1573" s="5" t="s">
        <v>57</v>
      </c>
      <c r="D1573" s="5" t="s">
        <v>58</v>
      </c>
      <c r="E1573" s="5" t="s">
        <v>91</v>
      </c>
      <c r="F1573" s="9">
        <v>72</v>
      </c>
      <c r="G1573" s="9">
        <v>800</v>
      </c>
      <c r="H1573" s="5" t="s">
        <v>20</v>
      </c>
      <c r="I1573" s="5" t="s">
        <v>4065</v>
      </c>
      <c r="J1573" s="12" t="str">
        <f>HYPERLINK("https://www.boe.es/gazeta/dias/1804/09/07/pdfs/GMD-1804-72.pdf#page=2","Abrir facsímil")</f>
        <v>Abrir facsímil</v>
      </c>
      <c r="K1573" s="15" t="s">
        <v>22</v>
      </c>
    </row>
    <row r="1574" spans="1:11" ht="42" customHeight="1">
      <c r="A1574" s="4" t="s">
        <v>4066</v>
      </c>
      <c r="B1574" s="5" t="s">
        <v>4067</v>
      </c>
      <c r="C1574" s="5" t="s">
        <v>57</v>
      </c>
      <c r="D1574" s="5" t="s">
        <v>58</v>
      </c>
      <c r="E1574" s="5" t="s">
        <v>91</v>
      </c>
      <c r="F1574" s="9">
        <v>72</v>
      </c>
      <c r="G1574" s="9">
        <v>800</v>
      </c>
      <c r="H1574" s="5" t="s">
        <v>20</v>
      </c>
      <c r="I1574" s="5" t="s">
        <v>4068</v>
      </c>
      <c r="J1574" s="12" t="str">
        <f>HYPERLINK("https://www.boe.es/gazeta/dias/1804/09/07/pdfs/GMD-1804-72.pdf#page=2","Abrir facsímil")</f>
        <v>Abrir facsímil</v>
      </c>
      <c r="K1574" s="15" t="s">
        <v>22</v>
      </c>
    </row>
    <row r="1575" spans="1:11" ht="42" customHeight="1">
      <c r="A1575" s="4" t="s">
        <v>4069</v>
      </c>
      <c r="B1575" s="5" t="s">
        <v>4069</v>
      </c>
      <c r="C1575" s="5" t="s">
        <v>85</v>
      </c>
      <c r="D1575" s="5" t="s">
        <v>86</v>
      </c>
      <c r="E1575" s="5" t="s">
        <v>71</v>
      </c>
      <c r="F1575" s="9">
        <v>99</v>
      </c>
      <c r="G1575" s="9">
        <v>1105</v>
      </c>
      <c r="H1575" s="5" t="s">
        <v>20</v>
      </c>
      <c r="I1575" s="5" t="s">
        <v>4070</v>
      </c>
      <c r="J1575" s="12" t="str">
        <f>HYPERLINK("https://www.boe.es/gazeta/dias/1804/12/11/pdfs/GMD-1804-99.pdf#page=5","Abrir facsímil")</f>
        <v>Abrir facsímil</v>
      </c>
      <c r="K1575" s="15" t="s">
        <v>22</v>
      </c>
    </row>
    <row r="1576" spans="1:11" ht="42" customHeight="1">
      <c r="A1576" s="4" t="s">
        <v>4071</v>
      </c>
      <c r="B1576" s="5" t="s">
        <v>4071</v>
      </c>
      <c r="C1576" s="5" t="s">
        <v>57</v>
      </c>
      <c r="D1576" s="5" t="s">
        <v>58</v>
      </c>
      <c r="E1576" s="5" t="s">
        <v>54</v>
      </c>
      <c r="F1576" s="9">
        <v>63</v>
      </c>
      <c r="G1576" s="9">
        <v>695</v>
      </c>
      <c r="H1576" s="5" t="s">
        <v>20</v>
      </c>
      <c r="I1576" s="5" t="s">
        <v>4072</v>
      </c>
      <c r="J1576" s="12" t="str">
        <f>HYPERLINK("https://www.boe.es/gazeta/dias/1804/08/07/pdfs/GMD-1804-63.pdf#page=5","Abrir facsímil")</f>
        <v>Abrir facsímil</v>
      </c>
      <c r="K1576" s="15" t="s">
        <v>22</v>
      </c>
    </row>
    <row r="1577" spans="1:11" ht="42" customHeight="1">
      <c r="A1577" s="4" t="s">
        <v>4073</v>
      </c>
      <c r="B1577" s="5" t="s">
        <v>4073</v>
      </c>
      <c r="C1577" s="5" t="s">
        <v>27</v>
      </c>
      <c r="D1577" s="5" t="s">
        <v>28</v>
      </c>
      <c r="E1577" s="5" t="s">
        <v>29</v>
      </c>
      <c r="F1577" s="9">
        <v>88</v>
      </c>
      <c r="G1577" s="9">
        <v>977</v>
      </c>
      <c r="H1577" s="5" t="s">
        <v>20</v>
      </c>
      <c r="I1577" s="5" t="s">
        <v>4074</v>
      </c>
      <c r="J1577" s="12" t="str">
        <f>HYPERLINK("https://www.boe.es/gazeta/dias/1804/11/02/pdfs/GMD-1804-88.pdf#page=9","Abrir facsímil")</f>
        <v>Abrir facsímil</v>
      </c>
      <c r="K1577" s="15" t="s">
        <v>22</v>
      </c>
    </row>
    <row r="1578" spans="1:11" ht="42" customHeight="1">
      <c r="A1578" s="4" t="s">
        <v>4075</v>
      </c>
      <c r="B1578" s="5" t="s">
        <v>4076</v>
      </c>
      <c r="C1578" s="5" t="s">
        <v>65</v>
      </c>
      <c r="D1578" s="5" t="s">
        <v>66</v>
      </c>
      <c r="E1578" s="5" t="s">
        <v>484</v>
      </c>
      <c r="F1578" s="9">
        <v>53</v>
      </c>
      <c r="G1578" s="9">
        <v>590</v>
      </c>
      <c r="H1578" s="5" t="s">
        <v>20</v>
      </c>
      <c r="I1578" s="5" t="s">
        <v>4077</v>
      </c>
      <c r="J1578" s="12" t="str">
        <f>HYPERLINK("https://www.boe.es/gazeta/dias/1804/07/03/pdfs/GMD-1804-53.pdf#page=8","Abrir facsímil")</f>
        <v>Abrir facsímil</v>
      </c>
      <c r="K1578" s="15" t="s">
        <v>22</v>
      </c>
    </row>
    <row r="1579" spans="1:11" ht="42" customHeight="1">
      <c r="A1579" s="4" t="s">
        <v>4078</v>
      </c>
      <c r="B1579" s="5" t="s">
        <v>4079</v>
      </c>
      <c r="C1579" s="5" t="s">
        <v>27</v>
      </c>
      <c r="D1579" s="5" t="s">
        <v>28</v>
      </c>
      <c r="E1579" s="5" t="s">
        <v>302</v>
      </c>
      <c r="F1579" s="9">
        <v>3</v>
      </c>
      <c r="G1579" s="9">
        <v>24</v>
      </c>
      <c r="H1579" s="5" t="s">
        <v>20</v>
      </c>
      <c r="I1579" s="5" t="s">
        <v>4080</v>
      </c>
      <c r="J1579" s="12" t="str">
        <f>HYPERLINK("https://www.boe.es/gazeta/dias/1804/01/10/pdfs/GMD-1804-3.pdf#page=4","Abrir facsímil")</f>
        <v>Abrir facsímil</v>
      </c>
      <c r="K1579" s="15" t="s">
        <v>22</v>
      </c>
    </row>
    <row r="1580" spans="1:11" ht="42" customHeight="1">
      <c r="A1580" s="4" t="s">
        <v>4081</v>
      </c>
      <c r="B1580" s="5" t="s">
        <v>4082</v>
      </c>
      <c r="C1580" s="5" t="s">
        <v>17</v>
      </c>
      <c r="D1580" s="5" t="s">
        <v>18</v>
      </c>
      <c r="E1580" s="5" t="s">
        <v>666</v>
      </c>
      <c r="F1580" s="9">
        <v>57</v>
      </c>
      <c r="G1580" s="9">
        <v>632</v>
      </c>
      <c r="H1580" s="5" t="s">
        <v>20</v>
      </c>
      <c r="I1580" s="5" t="s">
        <v>4083</v>
      </c>
      <c r="J1580" s="12" t="str">
        <f>HYPERLINK("https://www.boe.es/gazeta/dias/1804/07/17/pdfs/GMD-1804-57.pdf#page=10","Abrir facsímil")</f>
        <v>Abrir facsímil</v>
      </c>
      <c r="K1580" s="15" t="s">
        <v>22</v>
      </c>
    </row>
    <row r="1581" spans="1:11" ht="42" customHeight="1">
      <c r="A1581" s="4" t="s">
        <v>4084</v>
      </c>
      <c r="B1581" s="5" t="s">
        <v>4085</v>
      </c>
      <c r="C1581" s="5" t="s">
        <v>57</v>
      </c>
      <c r="D1581" s="5" t="s">
        <v>58</v>
      </c>
      <c r="E1581" s="5" t="s">
        <v>251</v>
      </c>
      <c r="F1581" s="9">
        <v>79</v>
      </c>
      <c r="G1581" s="9">
        <v>873</v>
      </c>
      <c r="H1581" s="5" t="s">
        <v>20</v>
      </c>
      <c r="I1581" s="5" t="s">
        <v>4086</v>
      </c>
      <c r="J1581" s="12" t="str">
        <f>HYPERLINK("https://www.boe.es/gazeta/dias/1804/10/02/pdfs/GMD-1804-79.pdf#page=3","Abrir facsímil")</f>
        <v>Abrir facsímil</v>
      </c>
      <c r="K1581" s="15" t="s">
        <v>22</v>
      </c>
    </row>
    <row r="1582" spans="1:11" ht="42" customHeight="1">
      <c r="A1582" s="4" t="s">
        <v>4087</v>
      </c>
      <c r="B1582" s="5" t="s">
        <v>4088</v>
      </c>
      <c r="C1582" s="5" t="s">
        <v>65</v>
      </c>
      <c r="D1582" s="5" t="s">
        <v>66</v>
      </c>
      <c r="E1582" s="5" t="s">
        <v>230</v>
      </c>
      <c r="F1582" s="9">
        <v>26</v>
      </c>
      <c r="G1582" s="9">
        <v>291</v>
      </c>
      <c r="H1582" s="5" t="s">
        <v>20</v>
      </c>
      <c r="I1582" s="5" t="s">
        <v>4089</v>
      </c>
      <c r="J1582" s="12" t="str">
        <f>HYPERLINK("https://www.boe.es/gazeta/dias/1804/03/30/pdfs/GMD-1804-26.pdf#page=5","Abrir facsímil")</f>
        <v>Abrir facsímil</v>
      </c>
      <c r="K1582" s="15" t="s">
        <v>22</v>
      </c>
    </row>
    <row r="1583" spans="1:11" ht="42" customHeight="1">
      <c r="A1583" s="4" t="s">
        <v>4090</v>
      </c>
      <c r="B1583" s="5" t="s">
        <v>4090</v>
      </c>
      <c r="C1583" s="5" t="s">
        <v>85</v>
      </c>
      <c r="D1583" s="5" t="s">
        <v>86</v>
      </c>
      <c r="E1583" s="5" t="s">
        <v>81</v>
      </c>
      <c r="F1583" s="9">
        <v>98</v>
      </c>
      <c r="G1583" s="9">
        <v>1087</v>
      </c>
      <c r="H1583" s="5" t="s">
        <v>20</v>
      </c>
      <c r="I1583" s="5" t="s">
        <v>4091</v>
      </c>
      <c r="J1583" s="12" t="str">
        <f>HYPERLINK("https://www.boe.es/gazeta/dias/1804/12/07/pdfs/GMD-1804-98.pdf#page=3","Abrir facsímil")</f>
        <v>Abrir facsímil</v>
      </c>
      <c r="K1583" s="15" t="s">
        <v>22</v>
      </c>
    </row>
    <row r="1584" spans="1:11" ht="42" customHeight="1">
      <c r="A1584" s="4" t="s">
        <v>4092</v>
      </c>
      <c r="B1584" s="5" t="s">
        <v>4093</v>
      </c>
      <c r="C1584" s="5" t="s">
        <v>85</v>
      </c>
      <c r="D1584" s="5" t="s">
        <v>86</v>
      </c>
      <c r="E1584" s="5" t="s">
        <v>421</v>
      </c>
      <c r="F1584" s="9">
        <v>47</v>
      </c>
      <c r="G1584" s="9">
        <v>522</v>
      </c>
      <c r="H1584" s="5" t="s">
        <v>20</v>
      </c>
      <c r="I1584" s="5" t="s">
        <v>4094</v>
      </c>
      <c r="J1584" s="12" t="str">
        <f>HYPERLINK("https://www.boe.es/gazeta/dias/1804/06/12/pdfs/GMD-1804-47.pdf#page=4","Abrir facsímil")</f>
        <v>Abrir facsímil</v>
      </c>
      <c r="K1584" s="15" t="s">
        <v>22</v>
      </c>
    </row>
    <row r="1585" spans="1:11" ht="42" customHeight="1">
      <c r="A1585" s="4" t="s">
        <v>4095</v>
      </c>
      <c r="B1585" s="5" t="s">
        <v>4096</v>
      </c>
      <c r="C1585" s="5" t="s">
        <v>57</v>
      </c>
      <c r="D1585" s="5" t="s">
        <v>58</v>
      </c>
      <c r="E1585" s="5" t="s">
        <v>542</v>
      </c>
      <c r="F1585" s="9">
        <v>54</v>
      </c>
      <c r="G1585" s="9">
        <v>596</v>
      </c>
      <c r="H1585" s="5" t="s">
        <v>20</v>
      </c>
      <c r="I1585" s="5" t="s">
        <v>4097</v>
      </c>
      <c r="J1585" s="12" t="str">
        <f>HYPERLINK("https://www.boe.es/gazeta/dias/1804/07/06/pdfs/GMD-1804-54.pdf#page=2","Abrir facsímil")</f>
        <v>Abrir facsímil</v>
      </c>
      <c r="K1585" s="15" t="s">
        <v>22</v>
      </c>
    </row>
    <row r="1586" spans="1:11" ht="42" customHeight="1">
      <c r="A1586" s="4" t="s">
        <v>4095</v>
      </c>
      <c r="B1586" s="5" t="s">
        <v>4096</v>
      </c>
      <c r="C1586" s="5" t="s">
        <v>57</v>
      </c>
      <c r="D1586" s="5" t="s">
        <v>58</v>
      </c>
      <c r="E1586" s="5" t="s">
        <v>216</v>
      </c>
      <c r="F1586" s="9">
        <v>67</v>
      </c>
      <c r="G1586" s="9">
        <v>746</v>
      </c>
      <c r="H1586" s="5" t="s">
        <v>20</v>
      </c>
      <c r="I1586" s="5" t="s">
        <v>4098</v>
      </c>
      <c r="J1586" s="12" t="str">
        <f>HYPERLINK("https://www.boe.es/gazeta/dias/1804/08/21/pdfs/GMD-1804-67.pdf#page=4","Abrir facsímil")</f>
        <v>Abrir facsímil</v>
      </c>
      <c r="K1586" s="15" t="s">
        <v>22</v>
      </c>
    </row>
    <row r="1587" spans="1:11" ht="42" customHeight="1">
      <c r="A1587" s="4" t="s">
        <v>4099</v>
      </c>
      <c r="B1587" s="5" t="s">
        <v>4100</v>
      </c>
      <c r="C1587" s="5" t="s">
        <v>17</v>
      </c>
      <c r="D1587" s="5" t="s">
        <v>18</v>
      </c>
      <c r="E1587" s="5" t="s">
        <v>87</v>
      </c>
      <c r="F1587" s="9">
        <v>9</v>
      </c>
      <c r="G1587" s="9">
        <v>97</v>
      </c>
      <c r="H1587" s="5" t="s">
        <v>20</v>
      </c>
      <c r="I1587" s="5" t="s">
        <v>4101</v>
      </c>
      <c r="J1587" s="12" t="str">
        <f>HYPERLINK("https://www.boe.es/gazeta/dias/1804/01/31/pdfs/GMD-1804-9.pdf#page=9","Abrir facsímil")</f>
        <v>Abrir facsímil</v>
      </c>
      <c r="K1587" s="15" t="s">
        <v>22</v>
      </c>
    </row>
    <row r="1588" spans="1:11" ht="42" customHeight="1">
      <c r="A1588" s="4" t="s">
        <v>4102</v>
      </c>
      <c r="B1588" s="5" t="s">
        <v>4103</v>
      </c>
      <c r="C1588" s="5" t="s">
        <v>27</v>
      </c>
      <c r="D1588" s="5" t="s">
        <v>28</v>
      </c>
      <c r="E1588" s="5" t="s">
        <v>37</v>
      </c>
      <c r="F1588" s="9">
        <v>29</v>
      </c>
      <c r="G1588" s="9">
        <v>319</v>
      </c>
      <c r="H1588" s="5" t="s">
        <v>20</v>
      </c>
      <c r="I1588" s="5" t="s">
        <v>4104</v>
      </c>
      <c r="J1588" s="12" t="str">
        <f>HYPERLINK("https://www.boe.es/gazeta/dias/1804/04/10/pdfs/GMD-1804-29.pdf#page=9","Abrir facsímil")</f>
        <v>Abrir facsímil</v>
      </c>
      <c r="K1588" s="15" t="s">
        <v>22</v>
      </c>
    </row>
    <row r="1589" spans="1:11" ht="42" customHeight="1">
      <c r="A1589" s="4" t="s">
        <v>4105</v>
      </c>
      <c r="B1589" s="5" t="s">
        <v>4106</v>
      </c>
      <c r="C1589" s="5" t="s">
        <v>27</v>
      </c>
      <c r="D1589" s="5" t="s">
        <v>28</v>
      </c>
      <c r="E1589" s="5" t="s">
        <v>623</v>
      </c>
      <c r="F1589" s="9">
        <v>51</v>
      </c>
      <c r="G1589" s="9">
        <v>561</v>
      </c>
      <c r="H1589" s="5" t="s">
        <v>20</v>
      </c>
      <c r="I1589" s="5" t="s">
        <v>4107</v>
      </c>
      <c r="J1589" s="12" t="str">
        <f>HYPERLINK("https://www.boe.es/gazeta/dias/1804/06/26/pdfs/GMD-1804-51.pdf#page=7","Abrir facsímil")</f>
        <v>Abrir facsímil</v>
      </c>
      <c r="K1589" s="15" t="s">
        <v>22</v>
      </c>
    </row>
    <row r="1590" spans="1:11" ht="42" customHeight="1">
      <c r="A1590" s="4" t="s">
        <v>4108</v>
      </c>
      <c r="B1590" s="5" t="s">
        <v>4109</v>
      </c>
      <c r="C1590" s="5" t="s">
        <v>57</v>
      </c>
      <c r="D1590" s="5" t="s">
        <v>58</v>
      </c>
      <c r="E1590" s="5" t="s">
        <v>857</v>
      </c>
      <c r="F1590" s="9">
        <v>28</v>
      </c>
      <c r="G1590" s="9">
        <v>305</v>
      </c>
      <c r="H1590" s="5" t="s">
        <v>20</v>
      </c>
      <c r="I1590" s="5" t="s">
        <v>4110</v>
      </c>
      <c r="J1590" s="12" t="str">
        <f>HYPERLINK("https://www.boe.es/gazeta/dias/1804/04/06/pdfs/GMD-1804-28.pdf#page=3","Abrir facsímil")</f>
        <v>Abrir facsímil</v>
      </c>
      <c r="K1590" s="15" t="s">
        <v>22</v>
      </c>
    </row>
    <row r="1591" spans="1:11" ht="42" customHeight="1">
      <c r="A1591" s="4" t="s">
        <v>4111</v>
      </c>
      <c r="B1591" s="5" t="s">
        <v>4111</v>
      </c>
      <c r="C1591" s="5" t="s">
        <v>17</v>
      </c>
      <c r="D1591" s="5" t="s">
        <v>18</v>
      </c>
      <c r="E1591" s="5" t="s">
        <v>378</v>
      </c>
      <c r="F1591" s="9">
        <v>65</v>
      </c>
      <c r="G1591" s="9">
        <v>730</v>
      </c>
      <c r="H1591" s="5" t="s">
        <v>20</v>
      </c>
      <c r="I1591" s="5" t="s">
        <v>4112</v>
      </c>
      <c r="J1591" s="12" t="str">
        <f>HYPERLINK("https://www.boe.es/gazeta/dias/1804/08/14/pdfs/GMD-1804-65.pdf#page=8","Abrir facsímil")</f>
        <v>Abrir facsímil</v>
      </c>
      <c r="K1591" s="15" t="s">
        <v>22</v>
      </c>
    </row>
    <row r="1592" spans="1:11" ht="42" customHeight="1">
      <c r="A1592" s="4" t="s">
        <v>4113</v>
      </c>
      <c r="B1592" s="5" t="s">
        <v>4113</v>
      </c>
      <c r="C1592" s="5" t="s">
        <v>57</v>
      </c>
      <c r="D1592" s="5" t="s">
        <v>58</v>
      </c>
      <c r="E1592" s="5" t="s">
        <v>109</v>
      </c>
      <c r="F1592" s="9">
        <v>35</v>
      </c>
      <c r="G1592" s="9">
        <v>381</v>
      </c>
      <c r="H1592" s="5" t="s">
        <v>20</v>
      </c>
      <c r="I1592" s="5" t="s">
        <v>4114</v>
      </c>
      <c r="J1592" s="12" t="str">
        <f>HYPERLINK("https://www.boe.es/gazeta/dias/1804/05/01/pdfs/GMD-1804-35.pdf#page=3","Abrir facsímil")</f>
        <v>Abrir facsímil</v>
      </c>
      <c r="K1592" s="15" t="s">
        <v>22</v>
      </c>
    </row>
    <row r="1593" spans="1:11" ht="42" customHeight="1">
      <c r="A1593" s="4" t="s">
        <v>4115</v>
      </c>
      <c r="B1593" s="5" t="s">
        <v>4116</v>
      </c>
      <c r="C1593" s="5" t="s">
        <v>27</v>
      </c>
      <c r="D1593" s="5" t="s">
        <v>28</v>
      </c>
      <c r="E1593" s="5" t="s">
        <v>182</v>
      </c>
      <c r="F1593" s="9">
        <v>21</v>
      </c>
      <c r="G1593" s="9">
        <v>234</v>
      </c>
      <c r="H1593" s="5" t="s">
        <v>20</v>
      </c>
      <c r="I1593" s="5" t="s">
        <v>4117</v>
      </c>
      <c r="J1593" s="12" t="str">
        <f>HYPERLINK("https://www.boe.es/gazeta/dias/1804/03/13/pdfs/GMD-1804-21.pdf#page=10","Abrir facsímil")</f>
        <v>Abrir facsímil</v>
      </c>
      <c r="K1593" s="15" t="s">
        <v>22</v>
      </c>
    </row>
    <row r="1594" spans="1:11" ht="42" customHeight="1">
      <c r="A1594" s="4" t="s">
        <v>4118</v>
      </c>
      <c r="B1594" s="5" t="s">
        <v>4118</v>
      </c>
      <c r="C1594" s="5" t="s">
        <v>65</v>
      </c>
      <c r="D1594" s="5" t="s">
        <v>66</v>
      </c>
      <c r="E1594" s="5" t="s">
        <v>155</v>
      </c>
      <c r="F1594" s="9">
        <v>92</v>
      </c>
      <c r="G1594" s="9">
        <v>1020</v>
      </c>
      <c r="H1594" s="5" t="s">
        <v>20</v>
      </c>
      <c r="I1594" s="5" t="s">
        <v>4119</v>
      </c>
      <c r="J1594" s="12" t="str">
        <f>HYPERLINK("https://www.boe.es/gazeta/dias/1804/11/16/pdfs/GMD-1804-92.pdf#page=8","Abrir facsímil")</f>
        <v>Abrir facsímil</v>
      </c>
      <c r="K1594" s="15" t="s">
        <v>22</v>
      </c>
    </row>
    <row r="1595" spans="1:11" ht="42" customHeight="1">
      <c r="A1595" s="4" t="s">
        <v>4120</v>
      </c>
      <c r="B1595" s="5" t="s">
        <v>4120</v>
      </c>
      <c r="C1595" s="5" t="s">
        <v>85</v>
      </c>
      <c r="D1595" s="5" t="s">
        <v>86</v>
      </c>
      <c r="E1595" s="5" t="s">
        <v>155</v>
      </c>
      <c r="F1595" s="9">
        <v>92</v>
      </c>
      <c r="G1595" s="9">
        <v>1023</v>
      </c>
      <c r="H1595" s="5" t="s">
        <v>20</v>
      </c>
      <c r="I1595" s="5" t="s">
        <v>4121</v>
      </c>
      <c r="J1595" s="12" t="str">
        <f>HYPERLINK("https://www.boe.es/gazeta/dias/1804/11/16/pdfs/GMD-1804-92.pdf#page=11","Abrir facsímil")</f>
        <v>Abrir facsímil</v>
      </c>
      <c r="K1595" s="15" t="s">
        <v>22</v>
      </c>
    </row>
    <row r="1596" spans="1:11" ht="42" customHeight="1">
      <c r="A1596" s="4" t="s">
        <v>4122</v>
      </c>
      <c r="B1596" s="5" t="s">
        <v>4123</v>
      </c>
      <c r="C1596" s="5" t="s">
        <v>198</v>
      </c>
      <c r="D1596" s="5" t="s">
        <v>66</v>
      </c>
      <c r="E1596" s="5" t="s">
        <v>637</v>
      </c>
      <c r="F1596" s="9">
        <v>74</v>
      </c>
      <c r="G1596" s="9">
        <v>832</v>
      </c>
      <c r="H1596" s="5" t="s">
        <v>20</v>
      </c>
      <c r="I1596" s="5" t="s">
        <v>4124</v>
      </c>
      <c r="J1596" s="12" t="str">
        <f>HYPERLINK("https://www.boe.es/gazeta/dias/1804/09/14/pdfs/GMD-1804-74.pdf#page=10","Abrir facsímil")</f>
        <v>Abrir facsímil</v>
      </c>
      <c r="K1596" s="15" t="s">
        <v>22</v>
      </c>
    </row>
    <row r="1597" spans="1:11" ht="42" customHeight="1">
      <c r="A1597" s="4" t="s">
        <v>4125</v>
      </c>
      <c r="B1597" s="5" t="s">
        <v>4126</v>
      </c>
      <c r="C1597" s="5" t="s">
        <v>27</v>
      </c>
      <c r="D1597" s="5" t="s">
        <v>28</v>
      </c>
      <c r="E1597" s="5" t="s">
        <v>526</v>
      </c>
      <c r="F1597" s="9">
        <v>95</v>
      </c>
      <c r="G1597" s="9">
        <v>1056</v>
      </c>
      <c r="H1597" s="5" t="s">
        <v>20</v>
      </c>
      <c r="I1597" s="5" t="s">
        <v>4127</v>
      </c>
      <c r="J1597" s="12" t="str">
        <f>HYPERLINK("https://www.boe.es/gazeta/dias/1804/11/27/pdfs/GMD-1804-95.pdf#page=8","Abrir facsímil")</f>
        <v>Abrir facsímil</v>
      </c>
      <c r="K1597" s="15" t="s">
        <v>22</v>
      </c>
    </row>
    <row r="1598" spans="1:11" ht="42" customHeight="1">
      <c r="A1598" s="4" t="s">
        <v>4128</v>
      </c>
      <c r="B1598" s="5" t="s">
        <v>4129</v>
      </c>
      <c r="C1598" s="5" t="s">
        <v>17</v>
      </c>
      <c r="D1598" s="5" t="s">
        <v>18</v>
      </c>
      <c r="E1598" s="5" t="s">
        <v>71</v>
      </c>
      <c r="F1598" s="9">
        <v>99</v>
      </c>
      <c r="G1598" s="9">
        <v>1107</v>
      </c>
      <c r="H1598" s="5" t="s">
        <v>20</v>
      </c>
      <c r="I1598" s="5" t="s">
        <v>4130</v>
      </c>
      <c r="J1598" s="12" t="str">
        <f>HYPERLINK("https://www.boe.es/gazeta/dias/1804/12/11/pdfs/GMD-1804-99.pdf#page=7","Abrir facsímil")</f>
        <v>Abrir facsímil</v>
      </c>
      <c r="K1598" s="15" t="s">
        <v>22</v>
      </c>
    </row>
    <row r="1599" spans="1:11" ht="42" customHeight="1">
      <c r="A1599" s="4" t="s">
        <v>4131</v>
      </c>
      <c r="B1599" s="5" t="s">
        <v>4132</v>
      </c>
      <c r="C1599" s="5" t="s">
        <v>85</v>
      </c>
      <c r="D1599" s="5" t="s">
        <v>86</v>
      </c>
      <c r="E1599" s="5" t="s">
        <v>623</v>
      </c>
      <c r="F1599" s="9">
        <v>51</v>
      </c>
      <c r="G1599" s="9">
        <v>566</v>
      </c>
      <c r="H1599" s="5" t="s">
        <v>20</v>
      </c>
      <c r="I1599" s="5" t="s">
        <v>4133</v>
      </c>
      <c r="J1599" s="12" t="str">
        <f>HYPERLINK("https://www.boe.es/gazeta/dias/1804/06/26/pdfs/GMD-1804-51.pdf#page=12","Abrir facsímil")</f>
        <v>Abrir facsímil</v>
      </c>
      <c r="K1599" s="15" t="s">
        <v>22</v>
      </c>
    </row>
    <row r="1600" spans="1:11" ht="42" customHeight="1">
      <c r="A1600" s="4" t="s">
        <v>4134</v>
      </c>
      <c r="B1600" s="5" t="s">
        <v>4135</v>
      </c>
      <c r="C1600" s="5" t="s">
        <v>85</v>
      </c>
      <c r="D1600" s="5" t="s">
        <v>86</v>
      </c>
      <c r="E1600" s="5" t="s">
        <v>950</v>
      </c>
      <c r="F1600" s="9">
        <v>90</v>
      </c>
      <c r="G1600" s="9">
        <v>1000</v>
      </c>
      <c r="H1600" s="5" t="s">
        <v>20</v>
      </c>
      <c r="I1600" s="5" t="s">
        <v>4136</v>
      </c>
      <c r="J1600" s="12" t="str">
        <f>HYPERLINK("https://www.boe.es/gazeta/dias/1804/11/09/pdfs/GMD-1804-90.pdf#page=8","Abrir facsímil")</f>
        <v>Abrir facsímil</v>
      </c>
      <c r="K1600" s="15" t="s">
        <v>22</v>
      </c>
    </row>
    <row r="1601" spans="1:11" ht="42" customHeight="1">
      <c r="A1601" s="4" t="s">
        <v>4137</v>
      </c>
      <c r="B1601" s="5" t="s">
        <v>4138</v>
      </c>
      <c r="C1601" s="5" t="s">
        <v>27</v>
      </c>
      <c r="D1601" s="5" t="s">
        <v>28</v>
      </c>
      <c r="E1601" s="5" t="s">
        <v>206</v>
      </c>
      <c r="F1601" s="9">
        <v>44</v>
      </c>
      <c r="G1601" s="9">
        <v>489</v>
      </c>
      <c r="H1601" s="5" t="s">
        <v>20</v>
      </c>
      <c r="I1601" s="5" t="s">
        <v>4139</v>
      </c>
      <c r="J1601" s="12" t="str">
        <f>HYPERLINK("https://www.boe.es/gazeta/dias/1804/06/01/pdfs/GMD-1804-44.pdf#page=7","Abrir facsímil")</f>
        <v>Abrir facsímil</v>
      </c>
      <c r="K1601" s="15" t="s">
        <v>22</v>
      </c>
    </row>
    <row r="1602" spans="1:11" ht="42" customHeight="1">
      <c r="A1602" s="4" t="s">
        <v>4140</v>
      </c>
      <c r="B1602" s="5" t="s">
        <v>4141</v>
      </c>
      <c r="C1602" s="5" t="s">
        <v>85</v>
      </c>
      <c r="D1602" s="5" t="s">
        <v>86</v>
      </c>
      <c r="E1602" s="5" t="s">
        <v>206</v>
      </c>
      <c r="F1602" s="9">
        <v>44</v>
      </c>
      <c r="G1602" s="9">
        <v>490</v>
      </c>
      <c r="H1602" s="5" t="s">
        <v>20</v>
      </c>
      <c r="I1602" s="5" t="s">
        <v>4142</v>
      </c>
      <c r="J1602" s="12" t="str">
        <f>HYPERLINK("https://www.boe.es/gazeta/dias/1804/06/01/pdfs/GMD-1804-44.pdf#page=8","Abrir facsímil")</f>
        <v>Abrir facsímil</v>
      </c>
      <c r="K1602" s="15" t="s">
        <v>22</v>
      </c>
    </row>
    <row r="1603" spans="1:11" ht="42" customHeight="1">
      <c r="A1603" s="4" t="s">
        <v>4140</v>
      </c>
      <c r="B1603" s="5" t="s">
        <v>4141</v>
      </c>
      <c r="C1603" s="5" t="s">
        <v>65</v>
      </c>
      <c r="D1603" s="5" t="s">
        <v>66</v>
      </c>
      <c r="E1603" s="5" t="s">
        <v>332</v>
      </c>
      <c r="F1603" s="9">
        <v>66</v>
      </c>
      <c r="G1603" s="9">
        <v>741</v>
      </c>
      <c r="H1603" s="5" t="s">
        <v>20</v>
      </c>
      <c r="I1603" s="5" t="s">
        <v>4143</v>
      </c>
      <c r="J1603" s="12" t="str">
        <f>HYPERLINK("https://www.boe.es/gazeta/dias/1804/08/17/pdfs/GMD-1804-66.pdf#page=7","Abrir facsímil")</f>
        <v>Abrir facsímil</v>
      </c>
      <c r="K1603" s="15" t="s">
        <v>22</v>
      </c>
    </row>
    <row r="1604" spans="1:11" ht="42" customHeight="1">
      <c r="A1604" s="4" t="s">
        <v>4140</v>
      </c>
      <c r="B1604" s="5" t="s">
        <v>4141</v>
      </c>
      <c r="C1604" s="5" t="s">
        <v>27</v>
      </c>
      <c r="D1604" s="5" t="s">
        <v>28</v>
      </c>
      <c r="E1604" s="5" t="s">
        <v>216</v>
      </c>
      <c r="F1604" s="9">
        <v>67</v>
      </c>
      <c r="G1604" s="9">
        <v>752</v>
      </c>
      <c r="H1604" s="5" t="s">
        <v>20</v>
      </c>
      <c r="I1604" s="5" t="s">
        <v>4144</v>
      </c>
      <c r="J1604" s="12" t="str">
        <f>HYPERLINK("https://www.boe.es/gazeta/dias/1804/08/21/pdfs/GMD-1804-67.pdf#page=10","Abrir facsímil")</f>
        <v>Abrir facsímil</v>
      </c>
      <c r="K1604" s="15" t="s">
        <v>22</v>
      </c>
    </row>
    <row r="1605" spans="1:11" ht="42" customHeight="1">
      <c r="A1605" s="4" t="s">
        <v>4140</v>
      </c>
      <c r="B1605" s="5" t="s">
        <v>4141</v>
      </c>
      <c r="C1605" s="5" t="s">
        <v>198</v>
      </c>
      <c r="D1605" s="5" t="s">
        <v>66</v>
      </c>
      <c r="E1605" s="5" t="s">
        <v>234</v>
      </c>
      <c r="F1605" s="9">
        <v>86</v>
      </c>
      <c r="G1605" s="9">
        <v>949</v>
      </c>
      <c r="H1605" s="5" t="s">
        <v>20</v>
      </c>
      <c r="I1605" s="5" t="s">
        <v>4145</v>
      </c>
      <c r="J1605" s="12" t="str">
        <f>HYPERLINK("https://www.boe.es/gazeta/dias/1804/10/26/pdfs/GMD-1804-86.pdf#page=7","Abrir facsímil")</f>
        <v>Abrir facsímil</v>
      </c>
      <c r="K1605" s="15" t="s">
        <v>22</v>
      </c>
    </row>
    <row r="1606" spans="1:11" ht="42" customHeight="1">
      <c r="A1606" s="4" t="s">
        <v>4146</v>
      </c>
      <c r="B1606" s="5" t="s">
        <v>4147</v>
      </c>
      <c r="C1606" s="5" t="s">
        <v>198</v>
      </c>
      <c r="D1606" s="5" t="s">
        <v>66</v>
      </c>
      <c r="E1606" s="5" t="s">
        <v>699</v>
      </c>
      <c r="F1606" s="9">
        <v>2</v>
      </c>
      <c r="G1606" s="9">
        <v>19</v>
      </c>
      <c r="H1606" s="5" t="s">
        <v>20</v>
      </c>
      <c r="I1606" s="5" t="s">
        <v>4148</v>
      </c>
      <c r="J1606" s="12" t="str">
        <f>HYPERLINK("https://www.boe.es/gazeta/dias/1804/01/06/pdfs/GMD-1804-2.pdf#page=7","Abrir facsímil")</f>
        <v>Abrir facsímil</v>
      </c>
      <c r="K1606" s="15" t="s">
        <v>22</v>
      </c>
    </row>
    <row r="1607" spans="1:11" ht="42" customHeight="1">
      <c r="A1607" s="4" t="s">
        <v>4146</v>
      </c>
      <c r="B1607" s="5" t="s">
        <v>4147</v>
      </c>
      <c r="C1607" s="5" t="s">
        <v>65</v>
      </c>
      <c r="D1607" s="5" t="s">
        <v>66</v>
      </c>
      <c r="E1607" s="5" t="s">
        <v>222</v>
      </c>
      <c r="F1607" s="9">
        <v>4</v>
      </c>
      <c r="G1607" s="9">
        <v>40</v>
      </c>
      <c r="H1607" s="5" t="s">
        <v>20</v>
      </c>
      <c r="I1607" s="5" t="s">
        <v>4149</v>
      </c>
      <c r="J1607" s="12" t="str">
        <f>HYPERLINK("https://www.boe.es/gazeta/dias/1804/01/13/pdfs/GMD-1804-4.pdf#page=12","Abrir facsímil")</f>
        <v>Abrir facsímil</v>
      </c>
      <c r="K1607" s="15" t="s">
        <v>22</v>
      </c>
    </row>
    <row r="1608" spans="1:11" ht="42" customHeight="1">
      <c r="A1608" s="4" t="s">
        <v>4150</v>
      </c>
      <c r="B1608" s="5" t="s">
        <v>4151</v>
      </c>
      <c r="C1608" s="5" t="s">
        <v>198</v>
      </c>
      <c r="D1608" s="5" t="s">
        <v>66</v>
      </c>
      <c r="E1608" s="5" t="s">
        <v>37</v>
      </c>
      <c r="F1608" s="9">
        <v>29</v>
      </c>
      <c r="G1608" s="9">
        <v>321</v>
      </c>
      <c r="H1608" s="5" t="s">
        <v>20</v>
      </c>
      <c r="I1608" s="5" t="s">
        <v>4152</v>
      </c>
      <c r="J1608" s="12" t="str">
        <f>HYPERLINK("https://www.boe.es/gazeta/dias/1804/04/10/pdfs/GMD-1804-29.pdf#page=11","Abrir facsímil")</f>
        <v>Abrir facsímil</v>
      </c>
      <c r="K1608" s="15" t="s">
        <v>22</v>
      </c>
    </row>
    <row r="1609" spans="1:11" ht="42" customHeight="1">
      <c r="A1609" s="4" t="s">
        <v>4146</v>
      </c>
      <c r="B1609" s="5" t="s">
        <v>4147</v>
      </c>
      <c r="C1609" s="5" t="s">
        <v>198</v>
      </c>
      <c r="D1609" s="5" t="s">
        <v>66</v>
      </c>
      <c r="E1609" s="5" t="s">
        <v>111</v>
      </c>
      <c r="F1609" s="9">
        <v>40</v>
      </c>
      <c r="G1609" s="9">
        <v>450</v>
      </c>
      <c r="H1609" s="5" t="s">
        <v>20</v>
      </c>
      <c r="I1609" s="5" t="s">
        <v>4153</v>
      </c>
      <c r="J1609" s="12" t="str">
        <f>HYPERLINK("https://www.boe.es/gazeta/dias/1804/05/18/pdfs/GMD-1804-40.pdf#page=12","Abrir facsímil")</f>
        <v>Abrir facsímil</v>
      </c>
      <c r="K1609" s="15" t="s">
        <v>22</v>
      </c>
    </row>
    <row r="1610" spans="1:11" ht="42" customHeight="1">
      <c r="A1610" s="4" t="s">
        <v>4146</v>
      </c>
      <c r="B1610" s="5" t="s">
        <v>4147</v>
      </c>
      <c r="C1610" s="5" t="s">
        <v>198</v>
      </c>
      <c r="D1610" s="5" t="s">
        <v>66</v>
      </c>
      <c r="E1610" s="5" t="s">
        <v>1179</v>
      </c>
      <c r="F1610" s="9">
        <v>43</v>
      </c>
      <c r="G1610" s="9">
        <v>481</v>
      </c>
      <c r="H1610" s="5" t="s">
        <v>20</v>
      </c>
      <c r="I1610" s="5" t="s">
        <v>4154</v>
      </c>
      <c r="J1610" s="12" t="str">
        <f>HYPERLINK("https://www.boe.es/gazeta/dias/1804/05/29/pdfs/GMD-1804-43.pdf#page=7","Abrir facsímil")</f>
        <v>Abrir facsímil</v>
      </c>
      <c r="K1610" s="15" t="s">
        <v>22</v>
      </c>
    </row>
    <row r="1611" spans="1:11" ht="42" customHeight="1">
      <c r="A1611" s="4" t="s">
        <v>4146</v>
      </c>
      <c r="B1611" s="5" t="s">
        <v>4147</v>
      </c>
      <c r="C1611" s="5" t="s">
        <v>27</v>
      </c>
      <c r="D1611" s="5" t="s">
        <v>28</v>
      </c>
      <c r="E1611" s="5" t="s">
        <v>33</v>
      </c>
      <c r="F1611" s="9">
        <v>48</v>
      </c>
      <c r="G1611" s="9">
        <v>538</v>
      </c>
      <c r="H1611" s="5" t="s">
        <v>20</v>
      </c>
      <c r="I1611" s="5" t="s">
        <v>4155</v>
      </c>
      <c r="J1611" s="12" t="str">
        <f>HYPERLINK("https://www.boe.es/gazeta/dias/1804/06/15/pdfs/GMD-1804-48.pdf#page=8","Abrir facsímil")</f>
        <v>Abrir facsímil</v>
      </c>
      <c r="K1611" s="15" t="s">
        <v>22</v>
      </c>
    </row>
    <row r="1612" spans="1:11" ht="42" customHeight="1">
      <c r="A1612" s="4" t="s">
        <v>4146</v>
      </c>
      <c r="B1612" s="5" t="s">
        <v>4147</v>
      </c>
      <c r="C1612" s="5" t="s">
        <v>198</v>
      </c>
      <c r="D1612" s="5" t="s">
        <v>66</v>
      </c>
      <c r="E1612" s="5" t="s">
        <v>484</v>
      </c>
      <c r="F1612" s="9">
        <v>53</v>
      </c>
      <c r="G1612" s="9">
        <v>592</v>
      </c>
      <c r="H1612" s="5" t="s">
        <v>20</v>
      </c>
      <c r="I1612" s="5" t="s">
        <v>4156</v>
      </c>
      <c r="J1612" s="12" t="str">
        <f>HYPERLINK("https://www.boe.es/gazeta/dias/1804/07/03/pdfs/GMD-1804-53.pdf#page=10","Abrir facsímil")</f>
        <v>Abrir facsímil</v>
      </c>
      <c r="K1612" s="15" t="s">
        <v>22</v>
      </c>
    </row>
    <row r="1613" spans="1:11" ht="42" customHeight="1">
      <c r="A1613" s="4" t="s">
        <v>4146</v>
      </c>
      <c r="B1613" s="5" t="s">
        <v>4147</v>
      </c>
      <c r="C1613" s="5" t="s">
        <v>198</v>
      </c>
      <c r="D1613" s="5" t="s">
        <v>66</v>
      </c>
      <c r="E1613" s="5" t="s">
        <v>59</v>
      </c>
      <c r="F1613" s="9">
        <v>55</v>
      </c>
      <c r="G1613" s="9">
        <v>613</v>
      </c>
      <c r="H1613" s="5" t="s">
        <v>20</v>
      </c>
      <c r="I1613" s="5" t="s">
        <v>4157</v>
      </c>
      <c r="J1613" s="12" t="str">
        <f>HYPERLINK("https://www.boe.es/gazeta/dias/1804/07/10/pdfs/GMD-1804-55.pdf#page=11","Abrir facsímil")</f>
        <v>Abrir facsímil</v>
      </c>
      <c r="K1613" s="15" t="s">
        <v>22</v>
      </c>
    </row>
    <row r="1614" spans="1:11" ht="42" customHeight="1">
      <c r="A1614" s="4" t="s">
        <v>4158</v>
      </c>
      <c r="B1614" s="5" t="s">
        <v>4159</v>
      </c>
      <c r="C1614" s="5" t="s">
        <v>198</v>
      </c>
      <c r="D1614" s="5" t="s">
        <v>66</v>
      </c>
      <c r="E1614" s="5" t="s">
        <v>175</v>
      </c>
      <c r="F1614" s="9">
        <v>58</v>
      </c>
      <c r="G1614" s="9">
        <v>645</v>
      </c>
      <c r="H1614" s="5" t="s">
        <v>20</v>
      </c>
      <c r="I1614" s="5" t="s">
        <v>4160</v>
      </c>
      <c r="J1614" s="12" t="str">
        <f>HYPERLINK("https://www.boe.es/gazeta/dias/1804/07/20/pdfs/GMD-1804-58.pdf#page=11","Abrir facsímil")</f>
        <v>Abrir facsímil</v>
      </c>
      <c r="K1614" s="15" t="s">
        <v>22</v>
      </c>
    </row>
    <row r="1615" spans="1:11" ht="42" customHeight="1">
      <c r="A1615" s="4" t="s">
        <v>4146</v>
      </c>
      <c r="B1615" s="5" t="s">
        <v>4147</v>
      </c>
      <c r="C1615" s="5" t="s">
        <v>27</v>
      </c>
      <c r="D1615" s="5" t="s">
        <v>28</v>
      </c>
      <c r="E1615" s="5" t="s">
        <v>367</v>
      </c>
      <c r="F1615" s="9">
        <v>64</v>
      </c>
      <c r="G1615" s="9">
        <v>718</v>
      </c>
      <c r="H1615" s="5" t="s">
        <v>20</v>
      </c>
      <c r="I1615" s="5" t="s">
        <v>4161</v>
      </c>
      <c r="J1615" s="12" t="str">
        <f>HYPERLINK("https://www.boe.es/gazeta/dias/1804/08/10/pdfs/GMD-1804-64.pdf#page=12","Abrir facsímil")</f>
        <v>Abrir facsímil</v>
      </c>
      <c r="K1615" s="15" t="s">
        <v>22</v>
      </c>
    </row>
    <row r="1616" spans="1:11" ht="42" customHeight="1">
      <c r="A1616" s="4" t="s">
        <v>4146</v>
      </c>
      <c r="B1616" s="5" t="s">
        <v>4147</v>
      </c>
      <c r="C1616" s="5" t="s">
        <v>198</v>
      </c>
      <c r="D1616" s="5" t="s">
        <v>66</v>
      </c>
      <c r="E1616" s="5" t="s">
        <v>216</v>
      </c>
      <c r="F1616" s="9">
        <v>67</v>
      </c>
      <c r="G1616" s="9">
        <v>753</v>
      </c>
      <c r="H1616" s="5" t="s">
        <v>20</v>
      </c>
      <c r="I1616" s="5" t="s">
        <v>4162</v>
      </c>
      <c r="J1616" s="12" t="str">
        <f>HYPERLINK("https://www.boe.es/gazeta/dias/1804/08/21/pdfs/GMD-1804-67.pdf#page=11","Abrir facsímil")</f>
        <v>Abrir facsímil</v>
      </c>
      <c r="K1616" s="15" t="s">
        <v>22</v>
      </c>
    </row>
    <row r="1617" spans="1:11" ht="42" customHeight="1">
      <c r="A1617" s="4" t="s">
        <v>4146</v>
      </c>
      <c r="B1617" s="5" t="s">
        <v>4147</v>
      </c>
      <c r="C1617" s="5" t="s">
        <v>198</v>
      </c>
      <c r="D1617" s="5" t="s">
        <v>66</v>
      </c>
      <c r="E1617" s="5" t="s">
        <v>163</v>
      </c>
      <c r="F1617" s="9">
        <v>70</v>
      </c>
      <c r="G1617" s="9">
        <v>785</v>
      </c>
      <c r="H1617" s="5" t="s">
        <v>20</v>
      </c>
      <c r="I1617" s="5" t="s">
        <v>4163</v>
      </c>
      <c r="J1617" s="12" t="str">
        <f>HYPERLINK("https://www.boe.es/gazeta/dias/1804/08/31/pdfs/GMD-1804-70.pdf#page=7","Abrir facsímil")</f>
        <v>Abrir facsímil</v>
      </c>
      <c r="K1617" s="15" t="s">
        <v>22</v>
      </c>
    </row>
    <row r="1618" spans="1:11" ht="42" customHeight="1">
      <c r="A1618" s="4" t="s">
        <v>4146</v>
      </c>
      <c r="B1618" s="5" t="s">
        <v>4147</v>
      </c>
      <c r="C1618" s="5" t="s">
        <v>198</v>
      </c>
      <c r="D1618" s="5" t="s">
        <v>66</v>
      </c>
      <c r="E1618" s="5" t="s">
        <v>241</v>
      </c>
      <c r="F1618" s="9">
        <v>71</v>
      </c>
      <c r="G1618" s="9">
        <v>794</v>
      </c>
      <c r="H1618" s="5" t="s">
        <v>20</v>
      </c>
      <c r="I1618" s="5" t="s">
        <v>4164</v>
      </c>
      <c r="J1618" s="12" t="str">
        <f>HYPERLINK("https://www.boe.es/gazeta/dias/1804/09/04/pdfs/GMD-1804-71.pdf#page=8","Abrir facsímil")</f>
        <v>Abrir facsímil</v>
      </c>
      <c r="K1618" s="15" t="s">
        <v>22</v>
      </c>
    </row>
    <row r="1619" spans="1:11" ht="42" customHeight="1">
      <c r="A1619" s="4" t="s">
        <v>4146</v>
      </c>
      <c r="B1619" s="5" t="s">
        <v>4147</v>
      </c>
      <c r="C1619" s="5" t="s">
        <v>198</v>
      </c>
      <c r="D1619" s="5" t="s">
        <v>66</v>
      </c>
      <c r="E1619" s="5" t="s">
        <v>637</v>
      </c>
      <c r="F1619" s="9">
        <v>74</v>
      </c>
      <c r="G1619" s="9">
        <v>832</v>
      </c>
      <c r="H1619" s="5" t="s">
        <v>20</v>
      </c>
      <c r="I1619" s="5" t="s">
        <v>4165</v>
      </c>
      <c r="J1619" s="12" t="str">
        <f>HYPERLINK("https://www.boe.es/gazeta/dias/1804/09/14/pdfs/GMD-1804-74.pdf#page=10","Abrir facsímil")</f>
        <v>Abrir facsímil</v>
      </c>
      <c r="K1619" s="15" t="s">
        <v>22</v>
      </c>
    </row>
    <row r="1620" spans="1:11" ht="42" customHeight="1">
      <c r="A1620" s="4" t="s">
        <v>4146</v>
      </c>
      <c r="B1620" s="5" t="s">
        <v>4147</v>
      </c>
      <c r="C1620" s="5" t="s">
        <v>198</v>
      </c>
      <c r="D1620" s="5" t="s">
        <v>66</v>
      </c>
      <c r="E1620" s="5" t="s">
        <v>466</v>
      </c>
      <c r="F1620" s="9">
        <v>76</v>
      </c>
      <c r="G1620" s="9">
        <v>849</v>
      </c>
      <c r="H1620" s="5" t="s">
        <v>20</v>
      </c>
      <c r="I1620" s="5" t="s">
        <v>4166</v>
      </c>
      <c r="J1620" s="12" t="str">
        <f>HYPERLINK("https://www.boe.es/gazeta/dias/1804/09/21/pdfs/GMD-1804-76.pdf#page=7","Abrir facsímil")</f>
        <v>Abrir facsímil</v>
      </c>
      <c r="K1620" s="15" t="s">
        <v>22</v>
      </c>
    </row>
    <row r="1621" spans="1:11" ht="42" customHeight="1">
      <c r="A1621" s="4" t="s">
        <v>4146</v>
      </c>
      <c r="B1621" s="5" t="s">
        <v>4147</v>
      </c>
      <c r="C1621" s="5" t="s">
        <v>198</v>
      </c>
      <c r="D1621" s="5" t="s">
        <v>66</v>
      </c>
      <c r="E1621" s="5" t="s">
        <v>736</v>
      </c>
      <c r="F1621" s="9">
        <v>83</v>
      </c>
      <c r="G1621" s="9">
        <v>920</v>
      </c>
      <c r="H1621" s="5" t="s">
        <v>20</v>
      </c>
      <c r="I1621" s="5" t="s">
        <v>4167</v>
      </c>
      <c r="J1621" s="12" t="str">
        <f>HYPERLINK("https://www.boe.es/gazeta/dias/1804/10/16/pdfs/GMD-1804-83.pdf#page=10","Abrir facsímil")</f>
        <v>Abrir facsímil</v>
      </c>
      <c r="K1621" s="15" t="s">
        <v>22</v>
      </c>
    </row>
    <row r="1622" spans="1:11" ht="42" customHeight="1">
      <c r="A1622" s="4" t="s">
        <v>4146</v>
      </c>
      <c r="B1622" s="5" t="s">
        <v>4147</v>
      </c>
      <c r="C1622" s="5" t="s">
        <v>198</v>
      </c>
      <c r="D1622" s="5" t="s">
        <v>66</v>
      </c>
      <c r="E1622" s="5" t="s">
        <v>736</v>
      </c>
      <c r="F1622" s="9">
        <v>83</v>
      </c>
      <c r="G1622" s="9">
        <v>921</v>
      </c>
      <c r="H1622" s="5" t="s">
        <v>20</v>
      </c>
      <c r="I1622" s="5" t="s">
        <v>4168</v>
      </c>
      <c r="J1622" s="12" t="str">
        <f>HYPERLINK("https://www.boe.es/gazeta/dias/1804/10/16/pdfs/GMD-1804-83.pdf#page=11","Abrir facsímil")</f>
        <v>Abrir facsímil</v>
      </c>
      <c r="K1622" s="15" t="s">
        <v>22</v>
      </c>
    </row>
    <row r="1623" spans="1:11" ht="42" customHeight="1">
      <c r="A1623" s="4" t="s">
        <v>4146</v>
      </c>
      <c r="B1623" s="5" t="s">
        <v>4147</v>
      </c>
      <c r="C1623" s="5" t="s">
        <v>198</v>
      </c>
      <c r="D1623" s="5" t="s">
        <v>66</v>
      </c>
      <c r="E1623" s="5" t="s">
        <v>43</v>
      </c>
      <c r="F1623" s="9">
        <v>84</v>
      </c>
      <c r="G1623" s="9">
        <v>929</v>
      </c>
      <c r="H1623" s="5" t="s">
        <v>20</v>
      </c>
      <c r="I1623" s="5" t="s">
        <v>4169</v>
      </c>
      <c r="J1623" s="12" t="str">
        <f>HYPERLINK("https://www.boe.es/gazeta/dias/1804/10/19/pdfs/GMD-1804-84.pdf#page=7","Abrir facsímil")</f>
        <v>Abrir facsímil</v>
      </c>
      <c r="K1623" s="15" t="s">
        <v>22</v>
      </c>
    </row>
    <row r="1624" spans="1:11" ht="42" customHeight="1">
      <c r="A1624" s="4" t="s">
        <v>4146</v>
      </c>
      <c r="B1624" s="5" t="s">
        <v>4147</v>
      </c>
      <c r="C1624" s="5" t="s">
        <v>198</v>
      </c>
      <c r="D1624" s="5" t="s">
        <v>66</v>
      </c>
      <c r="E1624" s="5" t="s">
        <v>143</v>
      </c>
      <c r="F1624" s="9">
        <v>87</v>
      </c>
      <c r="G1624" s="9">
        <v>967</v>
      </c>
      <c r="H1624" s="5" t="s">
        <v>20</v>
      </c>
      <c r="I1624" s="5" t="s">
        <v>4170</v>
      </c>
      <c r="J1624" s="12" t="str">
        <f>HYPERLINK("https://www.boe.es/gazeta/dias/1804/10/30/pdfs/GMD-1804-87.pdf#page=11","Abrir facsímil")</f>
        <v>Abrir facsímil</v>
      </c>
      <c r="K1624" s="15" t="s">
        <v>22</v>
      </c>
    </row>
    <row r="1625" spans="1:11" ht="42" customHeight="1">
      <c r="A1625" s="4" t="s">
        <v>4171</v>
      </c>
      <c r="B1625" s="5" t="s">
        <v>4172</v>
      </c>
      <c r="C1625" s="5" t="s">
        <v>198</v>
      </c>
      <c r="D1625" s="5" t="s">
        <v>66</v>
      </c>
      <c r="E1625" s="5" t="s">
        <v>704</v>
      </c>
      <c r="F1625" s="9">
        <v>36</v>
      </c>
      <c r="G1625" s="9">
        <v>401</v>
      </c>
      <c r="H1625" s="5" t="s">
        <v>20</v>
      </c>
      <c r="I1625" s="5" t="s">
        <v>4173</v>
      </c>
      <c r="J1625" s="12" t="str">
        <f>HYPERLINK("https://www.boe.es/gazeta/dias/1804/05/04/pdfs/GMD-1804-36.pdf#page=11","Abrir facsímil")</f>
        <v>Abrir facsímil</v>
      </c>
      <c r="K1625" s="15" t="s">
        <v>22</v>
      </c>
    </row>
    <row r="1626" spans="1:11" ht="42" customHeight="1">
      <c r="A1626" s="4" t="s">
        <v>4174</v>
      </c>
      <c r="B1626" s="5" t="s">
        <v>4175</v>
      </c>
      <c r="C1626" s="5" t="s">
        <v>198</v>
      </c>
      <c r="D1626" s="5" t="s">
        <v>66</v>
      </c>
      <c r="E1626" s="5" t="s">
        <v>587</v>
      </c>
      <c r="F1626" s="9">
        <v>62</v>
      </c>
      <c r="G1626" s="9">
        <v>689</v>
      </c>
      <c r="H1626" s="5" t="s">
        <v>20</v>
      </c>
      <c r="I1626" s="5" t="s">
        <v>4176</v>
      </c>
      <c r="J1626" s="12" t="str">
        <f>HYPERLINK("https://www.boe.es/gazeta/dias/1804/08/03/pdfs/GMD-1804-62.pdf#page=11","Abrir facsímil")</f>
        <v>Abrir facsímil</v>
      </c>
      <c r="K1626" s="15" t="s">
        <v>22</v>
      </c>
    </row>
    <row r="1627" spans="1:11" ht="42" customHeight="1">
      <c r="A1627" s="4" t="s">
        <v>4177</v>
      </c>
      <c r="B1627" s="5" t="s">
        <v>4178</v>
      </c>
      <c r="C1627" s="5" t="s">
        <v>27</v>
      </c>
      <c r="D1627" s="5" t="s">
        <v>28</v>
      </c>
      <c r="E1627" s="5" t="s">
        <v>91</v>
      </c>
      <c r="F1627" s="9">
        <v>72</v>
      </c>
      <c r="G1627" s="9">
        <v>806</v>
      </c>
      <c r="H1627" s="5" t="s">
        <v>20</v>
      </c>
      <c r="I1627" s="5" t="s">
        <v>4179</v>
      </c>
      <c r="J1627" s="12" t="str">
        <f>HYPERLINK("https://www.boe.es/gazeta/dias/1804/09/07/pdfs/GMD-1804-72.pdf#page=8","Abrir facsímil")</f>
        <v>Abrir facsímil</v>
      </c>
      <c r="K1627" s="15" t="s">
        <v>22</v>
      </c>
    </row>
    <row r="1628" spans="1:11" ht="42" customHeight="1">
      <c r="A1628" s="4" t="s">
        <v>4180</v>
      </c>
      <c r="B1628" s="5" t="s">
        <v>4181</v>
      </c>
      <c r="C1628" s="5" t="s">
        <v>120</v>
      </c>
      <c r="D1628" s="5" t="s">
        <v>121</v>
      </c>
      <c r="E1628" s="5" t="s">
        <v>33</v>
      </c>
      <c r="F1628" s="9">
        <v>48</v>
      </c>
      <c r="G1628" s="9" t="s">
        <v>819</v>
      </c>
      <c r="H1628" s="5" t="s">
        <v>20</v>
      </c>
      <c r="I1628" s="5" t="s">
        <v>4182</v>
      </c>
      <c r="J1628" s="12" t="str">
        <f>HYPERLINK("https://www.boe.es/gazeta/dias/1804/06/15/pdfs/GMD-C-1804-48.pdf#page=4","Abrir facsímil")</f>
        <v>Abrir facsímil</v>
      </c>
      <c r="K1628" s="15" t="s">
        <v>22</v>
      </c>
    </row>
    <row r="1629" spans="1:11" ht="42" customHeight="1">
      <c r="A1629" s="4" t="s">
        <v>4183</v>
      </c>
      <c r="B1629" s="5" t="s">
        <v>4184</v>
      </c>
      <c r="C1629" s="5" t="s">
        <v>120</v>
      </c>
      <c r="D1629" s="5" t="s">
        <v>121</v>
      </c>
      <c r="E1629" s="5" t="s">
        <v>33</v>
      </c>
      <c r="F1629" s="9">
        <v>48</v>
      </c>
      <c r="G1629" s="9" t="s">
        <v>819</v>
      </c>
      <c r="H1629" s="5" t="s">
        <v>20</v>
      </c>
      <c r="I1629" s="5" t="s">
        <v>4185</v>
      </c>
      <c r="J1629" s="12" t="str">
        <f>HYPERLINK("https://www.boe.es/gazeta/dias/1804/06/15/pdfs/GMD-C-1804-48.pdf#page=4","Abrir facsímil")</f>
        <v>Abrir facsímil</v>
      </c>
      <c r="K1629" s="15" t="s">
        <v>22</v>
      </c>
    </row>
    <row r="1630" spans="1:11" ht="42" customHeight="1">
      <c r="A1630" s="4" t="s">
        <v>4186</v>
      </c>
      <c r="B1630" s="5" t="s">
        <v>4187</v>
      </c>
      <c r="C1630" s="5" t="s">
        <v>198</v>
      </c>
      <c r="D1630" s="5" t="s">
        <v>66</v>
      </c>
      <c r="E1630" s="5" t="s">
        <v>453</v>
      </c>
      <c r="F1630" s="9">
        <v>33</v>
      </c>
      <c r="G1630" s="9">
        <v>368</v>
      </c>
      <c r="H1630" s="5" t="s">
        <v>20</v>
      </c>
      <c r="I1630" s="5" t="s">
        <v>4188</v>
      </c>
      <c r="J1630" s="12" t="str">
        <f>HYPERLINK("https://www.boe.es/gazeta/dias/1804/04/24/pdfs/GMD-1804-33.pdf#page=10","Abrir facsímil")</f>
        <v>Abrir facsímil</v>
      </c>
      <c r="K1630" s="15" t="s">
        <v>22</v>
      </c>
    </row>
    <row r="1631" spans="1:11" ht="42" customHeight="1">
      <c r="A1631" s="4" t="s">
        <v>4189</v>
      </c>
      <c r="B1631" s="5" t="s">
        <v>4189</v>
      </c>
      <c r="C1631" s="5" t="s">
        <v>57</v>
      </c>
      <c r="D1631" s="5" t="s">
        <v>58</v>
      </c>
      <c r="E1631" s="5" t="s">
        <v>41</v>
      </c>
      <c r="F1631" s="9">
        <v>24</v>
      </c>
      <c r="G1631" s="9">
        <v>271</v>
      </c>
      <c r="H1631" s="5" t="s">
        <v>20</v>
      </c>
      <c r="I1631" s="5" t="s">
        <v>4190</v>
      </c>
      <c r="J1631" s="12" t="str">
        <f>HYPERLINK("https://www.boe.es/gazeta/dias/1804/03/23/pdfs/GMD-1804-24.pdf#page=5","Abrir facsímil")</f>
        <v>Abrir facsímil</v>
      </c>
      <c r="K1631" s="15" t="s">
        <v>22</v>
      </c>
    </row>
    <row r="1632" spans="1:11" ht="42" customHeight="1">
      <c r="A1632" s="4" t="s">
        <v>4191</v>
      </c>
      <c r="B1632" s="5" t="s">
        <v>4191</v>
      </c>
      <c r="C1632" s="5" t="s">
        <v>17</v>
      </c>
      <c r="D1632" s="5" t="s">
        <v>18</v>
      </c>
      <c r="E1632" s="5" t="s">
        <v>71</v>
      </c>
      <c r="F1632" s="9">
        <v>99</v>
      </c>
      <c r="G1632" s="9">
        <v>1106</v>
      </c>
      <c r="H1632" s="5" t="s">
        <v>20</v>
      </c>
      <c r="I1632" s="5" t="s">
        <v>4192</v>
      </c>
      <c r="J1632" s="12" t="str">
        <f>HYPERLINK("https://www.boe.es/gazeta/dias/1804/12/11/pdfs/GMD-1804-99.pdf#page=6","Abrir facsímil")</f>
        <v>Abrir facsímil</v>
      </c>
      <c r="K1632" s="15" t="s">
        <v>22</v>
      </c>
    </row>
    <row r="1633" spans="1:11" ht="42" customHeight="1">
      <c r="A1633" s="4" t="s">
        <v>4193</v>
      </c>
      <c r="B1633" s="5" t="s">
        <v>4193</v>
      </c>
      <c r="C1633" s="5" t="s">
        <v>17</v>
      </c>
      <c r="D1633" s="5" t="s">
        <v>18</v>
      </c>
      <c r="E1633" s="5" t="s">
        <v>71</v>
      </c>
      <c r="F1633" s="9">
        <v>99</v>
      </c>
      <c r="G1633" s="9">
        <v>1106</v>
      </c>
      <c r="H1633" s="5" t="s">
        <v>20</v>
      </c>
      <c r="I1633" s="5" t="s">
        <v>4194</v>
      </c>
      <c r="J1633" s="12" t="str">
        <f>HYPERLINK("https://www.boe.es/gazeta/dias/1804/12/11/pdfs/GMD-1804-99.pdf#page=6","Abrir facsímil")</f>
        <v>Abrir facsímil</v>
      </c>
      <c r="K1633" s="15" t="s">
        <v>22</v>
      </c>
    </row>
    <row r="1634" spans="1:11" ht="42" customHeight="1">
      <c r="A1634" s="4" t="s">
        <v>4195</v>
      </c>
      <c r="B1634" s="5" t="s">
        <v>4196</v>
      </c>
      <c r="C1634" s="5" t="s">
        <v>262</v>
      </c>
      <c r="D1634" s="5" t="s">
        <v>263</v>
      </c>
      <c r="E1634" s="5" t="s">
        <v>1020</v>
      </c>
      <c r="F1634" s="9">
        <v>103</v>
      </c>
      <c r="G1634" s="9" t="s">
        <v>285</v>
      </c>
      <c r="H1634" s="5" t="s">
        <v>20</v>
      </c>
      <c r="I1634" s="5" t="s">
        <v>4197</v>
      </c>
      <c r="J1634" s="12" t="str">
        <f>HYPERLINK("https://www.boe.es/gazeta/dias/1804/12/25/pdfs/GMD-C-1804-103.pdf#page=2","Abrir facsímil")</f>
        <v>Abrir facsímil</v>
      </c>
      <c r="K1634" s="15" t="s">
        <v>22</v>
      </c>
    </row>
    <row r="1635" spans="1:11" ht="42" customHeight="1">
      <c r="A1635" s="4" t="s">
        <v>4198</v>
      </c>
      <c r="B1635" s="5" t="s">
        <v>4199</v>
      </c>
      <c r="C1635" s="5" t="s">
        <v>27</v>
      </c>
      <c r="D1635" s="5" t="s">
        <v>28</v>
      </c>
      <c r="E1635" s="5" t="s">
        <v>103</v>
      </c>
      <c r="F1635" s="9">
        <v>11</v>
      </c>
      <c r="G1635" s="9">
        <v>123</v>
      </c>
      <c r="H1635" s="5" t="s">
        <v>20</v>
      </c>
      <c r="I1635" s="5" t="s">
        <v>4200</v>
      </c>
      <c r="J1635" s="12" t="str">
        <f>HYPERLINK("https://www.boe.es/gazeta/dias/1804/02/07/pdfs/GMD-1804-11.pdf#page=11","Abrir facsímil")</f>
        <v>Abrir facsímil</v>
      </c>
      <c r="K1635" s="15" t="s">
        <v>22</v>
      </c>
    </row>
    <row r="1636" spans="1:11" ht="42" customHeight="1">
      <c r="A1636" s="4" t="s">
        <v>4201</v>
      </c>
      <c r="B1636" s="5" t="s">
        <v>4202</v>
      </c>
      <c r="C1636" s="5" t="s">
        <v>65</v>
      </c>
      <c r="D1636" s="5" t="s">
        <v>66</v>
      </c>
      <c r="E1636" s="5" t="s">
        <v>251</v>
      </c>
      <c r="F1636" s="9">
        <v>79</v>
      </c>
      <c r="G1636" s="9">
        <v>881</v>
      </c>
      <c r="H1636" s="5" t="s">
        <v>20</v>
      </c>
      <c r="I1636" s="5" t="s">
        <v>4203</v>
      </c>
      <c r="J1636" s="12" t="str">
        <f>HYPERLINK("https://www.boe.es/gazeta/dias/1804/10/02/pdfs/GMD-1804-79.pdf#page=11","Abrir facsímil")</f>
        <v>Abrir facsímil</v>
      </c>
      <c r="K1636" s="15" t="s">
        <v>22</v>
      </c>
    </row>
    <row r="1637" spans="1:11" ht="42" customHeight="1">
      <c r="A1637" s="4" t="s">
        <v>4204</v>
      </c>
      <c r="B1637" s="5" t="s">
        <v>4205</v>
      </c>
      <c r="C1637" s="5" t="s">
        <v>65</v>
      </c>
      <c r="D1637" s="5" t="s">
        <v>66</v>
      </c>
      <c r="E1637" s="5" t="s">
        <v>317</v>
      </c>
      <c r="F1637" s="9">
        <v>56</v>
      </c>
      <c r="G1637" s="9">
        <v>620</v>
      </c>
      <c r="H1637" s="5" t="s">
        <v>20</v>
      </c>
      <c r="I1637" s="5" t="s">
        <v>4206</v>
      </c>
      <c r="J1637" s="12" t="str">
        <f>HYPERLINK("https://www.boe.es/gazeta/dias/1804/07/13/pdfs/GMD-1804-56.pdf#page=6","Abrir facsímil")</f>
        <v>Abrir facsímil</v>
      </c>
      <c r="K1637" s="15" t="s">
        <v>22</v>
      </c>
    </row>
    <row r="1638" spans="1:11" ht="42" customHeight="1">
      <c r="A1638" s="4" t="s">
        <v>4207</v>
      </c>
      <c r="B1638" s="5" t="s">
        <v>4208</v>
      </c>
      <c r="C1638" s="5" t="s">
        <v>17</v>
      </c>
      <c r="D1638" s="5" t="s">
        <v>18</v>
      </c>
      <c r="E1638" s="5" t="s">
        <v>670</v>
      </c>
      <c r="F1638" s="9">
        <v>41</v>
      </c>
      <c r="G1638" s="9">
        <v>458</v>
      </c>
      <c r="H1638" s="5" t="s">
        <v>20</v>
      </c>
      <c r="I1638" s="5" t="s">
        <v>4209</v>
      </c>
      <c r="J1638" s="12" t="str">
        <f>HYPERLINK("https://www.boe.es/gazeta/dias/1804/05/22/pdfs/GMD-1804-41.pdf#page=8","Abrir facsímil")</f>
        <v>Abrir facsímil</v>
      </c>
      <c r="K1638" s="15" t="s">
        <v>22</v>
      </c>
    </row>
    <row r="1639" spans="1:11" ht="42" customHeight="1">
      <c r="A1639" s="4" t="s">
        <v>4210</v>
      </c>
      <c r="B1639" s="5" t="s">
        <v>4211</v>
      </c>
      <c r="C1639" s="5" t="s">
        <v>27</v>
      </c>
      <c r="D1639" s="5" t="s">
        <v>28</v>
      </c>
      <c r="E1639" s="5" t="s">
        <v>308</v>
      </c>
      <c r="F1639" s="9">
        <v>96</v>
      </c>
      <c r="G1639" s="9">
        <v>1068</v>
      </c>
      <c r="H1639" s="5" t="s">
        <v>20</v>
      </c>
      <c r="I1639" s="5" t="s">
        <v>4212</v>
      </c>
      <c r="J1639" s="12" t="str">
        <f>HYPERLINK("https://www.boe.es/gazeta/dias/1804/11/30/pdfs/GMD-1804-96.pdf#page=8","Abrir facsímil")</f>
        <v>Abrir facsímil</v>
      </c>
      <c r="K1639" s="15" t="s">
        <v>22</v>
      </c>
    </row>
    <row r="1640" spans="1:11" ht="42" customHeight="1">
      <c r="A1640" s="4" t="s">
        <v>4213</v>
      </c>
      <c r="B1640" s="5" t="s">
        <v>4214</v>
      </c>
      <c r="C1640" s="5" t="s">
        <v>27</v>
      </c>
      <c r="D1640" s="5" t="s">
        <v>28</v>
      </c>
      <c r="E1640" s="5" t="s">
        <v>709</v>
      </c>
      <c r="F1640" s="9">
        <v>82</v>
      </c>
      <c r="G1640" s="9">
        <v>907</v>
      </c>
      <c r="H1640" s="5" t="s">
        <v>20</v>
      </c>
      <c r="I1640" s="5" t="s">
        <v>4215</v>
      </c>
      <c r="J1640" s="12" t="str">
        <f>HYPERLINK("https://www.boe.es/gazeta/dias/1804/10/12/pdfs/GMD-1804-82.pdf#page=9","Abrir facsímil")</f>
        <v>Abrir facsímil</v>
      </c>
      <c r="K1640" s="15" t="s">
        <v>22</v>
      </c>
    </row>
    <row r="1641" spans="1:11" ht="42" customHeight="1">
      <c r="A1641" s="4" t="s">
        <v>4216</v>
      </c>
      <c r="B1641" s="5" t="s">
        <v>4217</v>
      </c>
      <c r="C1641" s="5" t="s">
        <v>17</v>
      </c>
      <c r="D1641" s="5" t="s">
        <v>18</v>
      </c>
      <c r="E1641" s="5" t="s">
        <v>484</v>
      </c>
      <c r="F1641" s="9">
        <v>53</v>
      </c>
      <c r="G1641" s="9">
        <v>592</v>
      </c>
      <c r="H1641" s="5" t="s">
        <v>20</v>
      </c>
      <c r="I1641" s="5" t="s">
        <v>4218</v>
      </c>
      <c r="J1641" s="12" t="str">
        <f>HYPERLINK("https://www.boe.es/gazeta/dias/1804/07/03/pdfs/GMD-1804-53.pdf#page=10","Abrir facsímil")</f>
        <v>Abrir facsímil</v>
      </c>
      <c r="K1641" s="15" t="s">
        <v>22</v>
      </c>
    </row>
    <row r="1642" spans="1:11" ht="42" customHeight="1">
      <c r="A1642" s="4" t="s">
        <v>4219</v>
      </c>
      <c r="B1642" s="5" t="s">
        <v>4220</v>
      </c>
      <c r="C1642" s="5" t="s">
        <v>27</v>
      </c>
      <c r="D1642" s="5" t="s">
        <v>28</v>
      </c>
      <c r="E1642" s="5" t="s">
        <v>326</v>
      </c>
      <c r="F1642" s="9">
        <v>69</v>
      </c>
      <c r="G1642" s="9">
        <v>775</v>
      </c>
      <c r="H1642" s="5" t="s">
        <v>20</v>
      </c>
      <c r="I1642" s="5" t="s">
        <v>4221</v>
      </c>
      <c r="J1642" s="12" t="str">
        <f>HYPERLINK("https://www.boe.es/gazeta/dias/1804/08/28/pdfs/GMD-1804-69.pdf#page=9","Abrir facsímil")</f>
        <v>Abrir facsímil</v>
      </c>
      <c r="K1642" s="15" t="s">
        <v>22</v>
      </c>
    </row>
    <row r="1643" spans="1:11" ht="42" customHeight="1">
      <c r="A1643" s="4" t="s">
        <v>4222</v>
      </c>
      <c r="B1643" s="5" t="s">
        <v>4223</v>
      </c>
      <c r="C1643" s="5" t="s">
        <v>17</v>
      </c>
      <c r="D1643" s="5" t="s">
        <v>18</v>
      </c>
      <c r="E1643" s="5" t="s">
        <v>155</v>
      </c>
      <c r="F1643" s="9">
        <v>92</v>
      </c>
      <c r="G1643" s="9">
        <v>1020</v>
      </c>
      <c r="H1643" s="5" t="s">
        <v>20</v>
      </c>
      <c r="I1643" s="5" t="s">
        <v>4224</v>
      </c>
      <c r="J1643" s="12" t="str">
        <f>HYPERLINK("https://www.boe.es/gazeta/dias/1804/11/16/pdfs/GMD-1804-92.pdf#page=8","Abrir facsímil")</f>
        <v>Abrir facsímil</v>
      </c>
      <c r="K1643" s="15" t="s">
        <v>22</v>
      </c>
    </row>
    <row r="1644" spans="1:11" ht="42" customHeight="1">
      <c r="A1644" s="4" t="s">
        <v>4225</v>
      </c>
      <c r="B1644" s="5" t="s">
        <v>4226</v>
      </c>
      <c r="C1644" s="5" t="s">
        <v>65</v>
      </c>
      <c r="D1644" s="5" t="s">
        <v>66</v>
      </c>
      <c r="E1644" s="5" t="s">
        <v>326</v>
      </c>
      <c r="F1644" s="9">
        <v>69</v>
      </c>
      <c r="G1644" s="9">
        <v>775</v>
      </c>
      <c r="H1644" s="5" t="s">
        <v>20</v>
      </c>
      <c r="I1644" s="5" t="s">
        <v>4227</v>
      </c>
      <c r="J1644" s="12" t="str">
        <f>HYPERLINK("https://www.boe.es/gazeta/dias/1804/08/28/pdfs/GMD-1804-69.pdf#page=9","Abrir facsímil")</f>
        <v>Abrir facsímil</v>
      </c>
      <c r="K1644" s="15" t="s">
        <v>22</v>
      </c>
    </row>
    <row r="1645" spans="1:11" ht="42" customHeight="1">
      <c r="A1645" s="4" t="s">
        <v>4228</v>
      </c>
      <c r="B1645" s="5" t="s">
        <v>4229</v>
      </c>
      <c r="C1645" s="5" t="s">
        <v>65</v>
      </c>
      <c r="D1645" s="5" t="s">
        <v>66</v>
      </c>
      <c r="E1645" s="5" t="s">
        <v>484</v>
      </c>
      <c r="F1645" s="9">
        <v>53</v>
      </c>
      <c r="G1645" s="9">
        <v>592</v>
      </c>
      <c r="H1645" s="5" t="s">
        <v>20</v>
      </c>
      <c r="I1645" s="5" t="s">
        <v>4230</v>
      </c>
      <c r="J1645" s="12" t="str">
        <f>HYPERLINK("https://www.boe.es/gazeta/dias/1804/07/03/pdfs/GMD-1804-53.pdf#page=10","Abrir facsímil")</f>
        <v>Abrir facsímil</v>
      </c>
      <c r="K1645" s="15" t="s">
        <v>22</v>
      </c>
    </row>
    <row r="1646" spans="1:11" ht="42" customHeight="1">
      <c r="A1646" s="4" t="s">
        <v>4231</v>
      </c>
      <c r="B1646" s="5" t="s">
        <v>4232</v>
      </c>
      <c r="C1646" s="5" t="s">
        <v>27</v>
      </c>
      <c r="D1646" s="5" t="s">
        <v>28</v>
      </c>
      <c r="E1646" s="5" t="s">
        <v>143</v>
      </c>
      <c r="F1646" s="9">
        <v>87</v>
      </c>
      <c r="G1646" s="9">
        <v>963</v>
      </c>
      <c r="H1646" s="5" t="s">
        <v>20</v>
      </c>
      <c r="I1646" s="5" t="s">
        <v>4233</v>
      </c>
      <c r="J1646" s="12" t="str">
        <f>HYPERLINK("https://www.boe.es/gazeta/dias/1804/10/30/pdfs/GMD-1804-87.pdf#page=7","Abrir facsímil")</f>
        <v>Abrir facsímil</v>
      </c>
      <c r="K1646" s="15" t="s">
        <v>22</v>
      </c>
    </row>
    <row r="1647" spans="1:11" ht="42" customHeight="1">
      <c r="A1647" s="4" t="s">
        <v>4234</v>
      </c>
      <c r="B1647" s="5" t="s">
        <v>4234</v>
      </c>
      <c r="C1647" s="5" t="s">
        <v>17</v>
      </c>
      <c r="D1647" s="5" t="s">
        <v>18</v>
      </c>
      <c r="E1647" s="5" t="s">
        <v>29</v>
      </c>
      <c r="F1647" s="9">
        <v>88</v>
      </c>
      <c r="G1647" s="9">
        <v>975</v>
      </c>
      <c r="H1647" s="5" t="s">
        <v>20</v>
      </c>
      <c r="I1647" s="5" t="s">
        <v>4235</v>
      </c>
      <c r="J1647" s="12" t="str">
        <f>HYPERLINK("https://www.boe.es/gazeta/dias/1804/11/02/pdfs/GMD-1804-88.pdf#page=7","Abrir facsímil")</f>
        <v>Abrir facsímil</v>
      </c>
      <c r="K1647" s="15" t="s">
        <v>22</v>
      </c>
    </row>
    <row r="1648" spans="1:11" ht="42" customHeight="1">
      <c r="A1648" s="4" t="s">
        <v>4236</v>
      </c>
      <c r="B1648" s="5" t="s">
        <v>4237</v>
      </c>
      <c r="C1648" s="5" t="s">
        <v>57</v>
      </c>
      <c r="D1648" s="5" t="s">
        <v>58</v>
      </c>
      <c r="E1648" s="5" t="s">
        <v>736</v>
      </c>
      <c r="F1648" s="9">
        <v>83</v>
      </c>
      <c r="G1648" s="9">
        <v>915</v>
      </c>
      <c r="H1648" s="5" t="s">
        <v>20</v>
      </c>
      <c r="I1648" s="5" t="s">
        <v>4238</v>
      </c>
      <c r="J1648" s="12" t="str">
        <f>HYPERLINK("https://www.boe.es/gazeta/dias/1804/10/16/pdfs/GMD-1804-83.pdf#page=5","Abrir facsímil")</f>
        <v>Abrir facsímil</v>
      </c>
      <c r="K1648" s="15" t="s">
        <v>22</v>
      </c>
    </row>
    <row r="1649" spans="1:11" ht="42" customHeight="1">
      <c r="A1649" s="4" t="s">
        <v>4239</v>
      </c>
      <c r="B1649" s="5" t="s">
        <v>4240</v>
      </c>
      <c r="C1649" s="5" t="s">
        <v>27</v>
      </c>
      <c r="D1649" s="5" t="s">
        <v>28</v>
      </c>
      <c r="E1649" s="5" t="s">
        <v>479</v>
      </c>
      <c r="F1649" s="9">
        <v>5</v>
      </c>
      <c r="G1649" s="9">
        <v>47</v>
      </c>
      <c r="H1649" s="5" t="s">
        <v>20</v>
      </c>
      <c r="I1649" s="5" t="s">
        <v>4241</v>
      </c>
      <c r="J1649" s="12" t="str">
        <f>HYPERLINK("https://www.boe.es/gazeta/dias/1804/01/17/pdfs/GMD-1804-5.pdf#page=7","Abrir facsímil")</f>
        <v>Abrir facsímil</v>
      </c>
      <c r="K1649" s="15" t="s">
        <v>22</v>
      </c>
    </row>
    <row r="1650" spans="1:11" ht="42" customHeight="1">
      <c r="A1650" s="4" t="s">
        <v>4242</v>
      </c>
      <c r="B1650" s="5" t="s">
        <v>4242</v>
      </c>
      <c r="C1650" s="5" t="s">
        <v>27</v>
      </c>
      <c r="D1650" s="5" t="s">
        <v>28</v>
      </c>
      <c r="E1650" s="5" t="s">
        <v>77</v>
      </c>
      <c r="F1650" s="9">
        <v>32</v>
      </c>
      <c r="G1650" s="9">
        <v>356</v>
      </c>
      <c r="H1650" s="5" t="s">
        <v>20</v>
      </c>
      <c r="I1650" s="5" t="s">
        <v>4243</v>
      </c>
      <c r="J1650" s="12" t="str">
        <f>HYPERLINK("https://www.boe.es/gazeta/dias/1804/04/20/pdfs/GMD-1804-32.pdf#page=10","Abrir facsímil")</f>
        <v>Abrir facsímil</v>
      </c>
      <c r="K1650" s="15" t="s">
        <v>22</v>
      </c>
    </row>
    <row r="1651" spans="1:11" ht="42" customHeight="1">
      <c r="A1651" s="4" t="s">
        <v>4244</v>
      </c>
      <c r="B1651" s="5" t="s">
        <v>4244</v>
      </c>
      <c r="C1651" s="5" t="s">
        <v>65</v>
      </c>
      <c r="D1651" s="5" t="s">
        <v>66</v>
      </c>
      <c r="E1651" s="5" t="s">
        <v>1337</v>
      </c>
      <c r="F1651" s="9">
        <v>7</v>
      </c>
      <c r="G1651" s="9">
        <v>70</v>
      </c>
      <c r="H1651" s="5" t="s">
        <v>20</v>
      </c>
      <c r="I1651" s="5" t="s">
        <v>4245</v>
      </c>
      <c r="J1651" s="12" t="str">
        <f>HYPERLINK("https://www.boe.es/gazeta/dias/1804/01/24/pdfs/GMD-1804-7.pdf#page=10","Abrir facsímil")</f>
        <v>Abrir facsímil</v>
      </c>
      <c r="K1651" s="15" t="s">
        <v>22</v>
      </c>
    </row>
    <row r="1652" spans="1:11" ht="42" customHeight="1">
      <c r="A1652" s="4" t="s">
        <v>4246</v>
      </c>
      <c r="B1652" s="5" t="s">
        <v>4246</v>
      </c>
      <c r="C1652" s="5" t="s">
        <v>65</v>
      </c>
      <c r="D1652" s="5" t="s">
        <v>66</v>
      </c>
      <c r="E1652" s="5" t="s">
        <v>298</v>
      </c>
      <c r="F1652" s="9">
        <v>10</v>
      </c>
      <c r="G1652" s="9">
        <v>109</v>
      </c>
      <c r="H1652" s="5" t="s">
        <v>20</v>
      </c>
      <c r="I1652" s="5" t="s">
        <v>4247</v>
      </c>
      <c r="J1652" s="12" t="str">
        <f>HYPERLINK("https://www.boe.es/gazeta/dias/1804/02/03/pdfs/GMD-1804-10.pdf#page=9","Abrir facsímil")</f>
        <v>Abrir facsímil</v>
      </c>
      <c r="K1652" s="15" t="s">
        <v>22</v>
      </c>
    </row>
    <row r="1653" spans="1:11" ht="42" customHeight="1">
      <c r="A1653" s="4" t="s">
        <v>4248</v>
      </c>
      <c r="B1653" s="5" t="s">
        <v>4248</v>
      </c>
      <c r="C1653" s="5" t="s">
        <v>120</v>
      </c>
      <c r="D1653" s="5" t="s">
        <v>121</v>
      </c>
      <c r="E1653" s="5" t="s">
        <v>33</v>
      </c>
      <c r="F1653" s="9">
        <v>48</v>
      </c>
      <c r="G1653" s="9" t="s">
        <v>285</v>
      </c>
      <c r="H1653" s="5" t="s">
        <v>20</v>
      </c>
      <c r="I1653" s="5" t="s">
        <v>4249</v>
      </c>
      <c r="J1653" s="12" t="str">
        <f>HYPERLINK("https://www.boe.es/gazeta/dias/1804/06/15/pdfs/GMD-C-1804-48.pdf#page=2","Abrir facsímil")</f>
        <v>Abrir facsímil</v>
      </c>
      <c r="K1653" s="15" t="s">
        <v>22</v>
      </c>
    </row>
    <row r="1654" spans="1:11" ht="42" customHeight="1">
      <c r="A1654" s="4" t="s">
        <v>4250</v>
      </c>
      <c r="B1654" s="5" t="s">
        <v>4251</v>
      </c>
      <c r="C1654" s="5" t="s">
        <v>27</v>
      </c>
      <c r="D1654" s="5" t="s">
        <v>28</v>
      </c>
      <c r="E1654" s="5" t="s">
        <v>29</v>
      </c>
      <c r="F1654" s="9">
        <v>88</v>
      </c>
      <c r="G1654" s="9">
        <v>977</v>
      </c>
      <c r="H1654" s="5" t="s">
        <v>20</v>
      </c>
      <c r="I1654" s="5" t="s">
        <v>4252</v>
      </c>
      <c r="J1654" s="12" t="str">
        <f>HYPERLINK("https://www.boe.es/gazeta/dias/1804/11/02/pdfs/GMD-1804-88.pdf#page=9","Abrir facsímil")</f>
        <v>Abrir facsímil</v>
      </c>
      <c r="K1654" s="15" t="s">
        <v>22</v>
      </c>
    </row>
    <row r="1655" spans="1:11" ht="42" customHeight="1">
      <c r="A1655" s="4" t="s">
        <v>4253</v>
      </c>
      <c r="B1655" s="5" t="s">
        <v>4253</v>
      </c>
      <c r="C1655" s="5" t="s">
        <v>57</v>
      </c>
      <c r="D1655" s="5" t="s">
        <v>58</v>
      </c>
      <c r="E1655" s="5" t="s">
        <v>251</v>
      </c>
      <c r="F1655" s="9">
        <v>79</v>
      </c>
      <c r="G1655" s="9">
        <v>872</v>
      </c>
      <c r="H1655" s="5" t="s">
        <v>20</v>
      </c>
      <c r="I1655" s="5" t="s">
        <v>4254</v>
      </c>
      <c r="J1655" s="12" t="str">
        <f>HYPERLINK("https://www.boe.es/gazeta/dias/1804/10/02/pdfs/GMD-1804-79.pdf#page=2","Abrir facsímil")</f>
        <v>Abrir facsímil</v>
      </c>
      <c r="K1655" s="15" t="s">
        <v>22</v>
      </c>
    </row>
    <row r="1656" spans="1:11" ht="42" customHeight="1">
      <c r="A1656" s="4" t="s">
        <v>4255</v>
      </c>
      <c r="B1656" s="5" t="s">
        <v>4255</v>
      </c>
      <c r="C1656" s="5" t="s">
        <v>57</v>
      </c>
      <c r="D1656" s="5" t="s">
        <v>58</v>
      </c>
      <c r="E1656" s="5" t="s">
        <v>147</v>
      </c>
      <c r="F1656" s="9">
        <v>77</v>
      </c>
      <c r="G1656" s="9">
        <v>852</v>
      </c>
      <c r="H1656" s="5" t="s">
        <v>20</v>
      </c>
      <c r="I1656" s="5" t="s">
        <v>4256</v>
      </c>
      <c r="J1656" s="12" t="str">
        <f>HYPERLINK("https://www.boe.es/gazeta/dias/1804/09/25/pdfs/GMD-1804-77.pdf#page=2","Abrir facsímil")</f>
        <v>Abrir facsímil</v>
      </c>
      <c r="K1656" s="15" t="s">
        <v>22</v>
      </c>
    </row>
    <row r="1657" spans="1:11" ht="42" customHeight="1">
      <c r="A1657" s="4" t="s">
        <v>4255</v>
      </c>
      <c r="B1657" s="5" t="s">
        <v>4255</v>
      </c>
      <c r="C1657" s="5" t="s">
        <v>27</v>
      </c>
      <c r="D1657" s="5" t="s">
        <v>28</v>
      </c>
      <c r="E1657" s="5" t="s">
        <v>47</v>
      </c>
      <c r="F1657" s="9">
        <v>78</v>
      </c>
      <c r="G1657" s="9">
        <v>865</v>
      </c>
      <c r="H1657" s="5" t="s">
        <v>20</v>
      </c>
      <c r="I1657" s="5" t="s">
        <v>4257</v>
      </c>
      <c r="J1657" s="12" t="str">
        <f>HYPERLINK("https://www.boe.es/gazeta/dias/1804/09/28/pdfs/GMD-1804-78.pdf#page=3","Abrir facsímil")</f>
        <v>Abrir facsímil</v>
      </c>
      <c r="K1657" s="15" t="s">
        <v>22</v>
      </c>
    </row>
    <row r="1658" spans="1:11" ht="42" customHeight="1">
      <c r="A1658" s="4" t="s">
        <v>4255</v>
      </c>
      <c r="B1658" s="5" t="s">
        <v>4255</v>
      </c>
      <c r="C1658" s="5" t="s">
        <v>57</v>
      </c>
      <c r="D1658" s="5" t="s">
        <v>58</v>
      </c>
      <c r="E1658" s="5" t="s">
        <v>251</v>
      </c>
      <c r="F1658" s="9">
        <v>79</v>
      </c>
      <c r="G1658" s="9">
        <v>872</v>
      </c>
      <c r="H1658" s="5" t="s">
        <v>20</v>
      </c>
      <c r="I1658" s="5" t="s">
        <v>4254</v>
      </c>
      <c r="J1658" s="12" t="str">
        <f>HYPERLINK("https://www.boe.es/gazeta/dias/1804/10/02/pdfs/GMD-1804-79.pdf#page=2","Abrir facsímil")</f>
        <v>Abrir facsímil</v>
      </c>
      <c r="K1658" s="15" t="s">
        <v>22</v>
      </c>
    </row>
    <row r="1659" spans="1:11" ht="42" customHeight="1">
      <c r="A1659" s="4" t="s">
        <v>4258</v>
      </c>
      <c r="B1659" s="5" t="s">
        <v>4258</v>
      </c>
      <c r="C1659" s="5" t="s">
        <v>57</v>
      </c>
      <c r="D1659" s="5" t="s">
        <v>58</v>
      </c>
      <c r="E1659" s="5" t="s">
        <v>59</v>
      </c>
      <c r="F1659" s="9">
        <v>55</v>
      </c>
      <c r="G1659" s="9">
        <v>607</v>
      </c>
      <c r="H1659" s="5" t="s">
        <v>20</v>
      </c>
      <c r="I1659" s="5" t="s">
        <v>4259</v>
      </c>
      <c r="J1659" s="12" t="str">
        <f>HYPERLINK("https://www.boe.es/gazeta/dias/1804/07/10/pdfs/GMD-1804-55.pdf#page=5","Abrir facsímil")</f>
        <v>Abrir facsímil</v>
      </c>
      <c r="K1659" s="15" t="s">
        <v>22</v>
      </c>
    </row>
    <row r="1660" spans="1:11" ht="42" customHeight="1">
      <c r="A1660" s="4" t="s">
        <v>4260</v>
      </c>
      <c r="B1660" s="5" t="s">
        <v>4260</v>
      </c>
      <c r="C1660" s="5" t="s">
        <v>17</v>
      </c>
      <c r="D1660" s="5" t="s">
        <v>18</v>
      </c>
      <c r="E1660" s="5" t="s">
        <v>245</v>
      </c>
      <c r="F1660" s="9">
        <v>6</v>
      </c>
      <c r="G1660" s="9">
        <v>56</v>
      </c>
      <c r="H1660" s="5" t="s">
        <v>20</v>
      </c>
      <c r="I1660" s="5" t="s">
        <v>4261</v>
      </c>
      <c r="J1660" s="12" t="str">
        <f>HYPERLINK("https://www.boe.es/gazeta/dias/1804/01/20/pdfs/GMD-1804-6.pdf#page=8","Abrir facsímil")</f>
        <v>Abrir facsímil</v>
      </c>
      <c r="K1660" s="15" t="s">
        <v>22</v>
      </c>
    </row>
    <row r="1661" spans="1:11" ht="42" customHeight="1">
      <c r="A1661" s="4" t="s">
        <v>4262</v>
      </c>
      <c r="B1661" s="5" t="s">
        <v>4262</v>
      </c>
      <c r="C1661" s="5" t="s">
        <v>198</v>
      </c>
      <c r="D1661" s="5" t="s">
        <v>66</v>
      </c>
      <c r="E1661" s="5" t="s">
        <v>54</v>
      </c>
      <c r="F1661" s="9">
        <v>63</v>
      </c>
      <c r="G1661" s="9">
        <v>701</v>
      </c>
      <c r="H1661" s="5" t="s">
        <v>20</v>
      </c>
      <c r="I1661" s="5" t="s">
        <v>4263</v>
      </c>
      <c r="J1661" s="12" t="str">
        <f>HYPERLINK("https://www.boe.es/gazeta/dias/1804/08/07/pdfs/GMD-1804-63.pdf#page=11","Abrir facsímil")</f>
        <v>Abrir facsímil</v>
      </c>
      <c r="K1661" s="15" t="s">
        <v>22</v>
      </c>
    </row>
    <row r="1662" spans="1:11" ht="42" customHeight="1">
      <c r="A1662" s="4" t="s">
        <v>4264</v>
      </c>
      <c r="B1662" s="5" t="s">
        <v>4264</v>
      </c>
      <c r="C1662" s="5" t="s">
        <v>17</v>
      </c>
      <c r="D1662" s="5" t="s">
        <v>18</v>
      </c>
      <c r="E1662" s="5" t="s">
        <v>547</v>
      </c>
      <c r="F1662" s="9">
        <v>68</v>
      </c>
      <c r="G1662" s="9">
        <v>762</v>
      </c>
      <c r="H1662" s="5" t="s">
        <v>20</v>
      </c>
      <c r="I1662" s="5" t="s">
        <v>4265</v>
      </c>
      <c r="J1662" s="12" t="str">
        <f>HYPERLINK("https://www.boe.es/gazeta/dias/1804/08/24/pdfs/GMD-1804-68.pdf#page=8","Abrir facsímil")</f>
        <v>Abrir facsímil</v>
      </c>
      <c r="K1662" s="15" t="s">
        <v>22</v>
      </c>
    </row>
    <row r="1663" spans="1:11" ht="42" customHeight="1">
      <c r="A1663" s="4" t="s">
        <v>4266</v>
      </c>
      <c r="B1663" s="5" t="s">
        <v>4266</v>
      </c>
      <c r="C1663" s="5" t="s">
        <v>57</v>
      </c>
      <c r="D1663" s="5" t="s">
        <v>58</v>
      </c>
      <c r="E1663" s="5" t="s">
        <v>1020</v>
      </c>
      <c r="F1663" s="9">
        <v>103</v>
      </c>
      <c r="G1663" s="9">
        <v>1142</v>
      </c>
      <c r="H1663" s="5" t="s">
        <v>20</v>
      </c>
      <c r="I1663" s="5" t="s">
        <v>4267</v>
      </c>
      <c r="J1663" s="12" t="str">
        <f>HYPERLINK("https://www.boe.es/gazeta/dias/1804/12/25/pdfs/GMD-1804-103.pdf#page=2","Abrir facsímil")</f>
        <v>Abrir facsímil</v>
      </c>
      <c r="K1663" s="15" t="s">
        <v>22</v>
      </c>
    </row>
    <row r="1664" spans="1:11" ht="42" customHeight="1">
      <c r="A1664" s="4" t="s">
        <v>4268</v>
      </c>
      <c r="B1664" s="5" t="s">
        <v>4269</v>
      </c>
      <c r="C1664" s="5" t="s">
        <v>17</v>
      </c>
      <c r="D1664" s="5" t="s">
        <v>18</v>
      </c>
      <c r="E1664" s="5" t="s">
        <v>479</v>
      </c>
      <c r="F1664" s="9">
        <v>5</v>
      </c>
      <c r="G1664" s="9">
        <v>46</v>
      </c>
      <c r="H1664" s="5" t="s">
        <v>20</v>
      </c>
      <c r="I1664" s="5" t="s">
        <v>4270</v>
      </c>
      <c r="J1664" s="12" t="str">
        <f>HYPERLINK("https://www.boe.es/gazeta/dias/1804/01/17/pdfs/GMD-1804-5.pdf#page=6","Abrir facsímil")</f>
        <v>Abrir facsímil</v>
      </c>
      <c r="K1664" s="15" t="s">
        <v>22</v>
      </c>
    </row>
    <row r="1665" spans="1:11" ht="42" customHeight="1">
      <c r="A1665" s="4" t="s">
        <v>4271</v>
      </c>
      <c r="B1665" s="5" t="s">
        <v>4272</v>
      </c>
      <c r="C1665" s="5" t="s">
        <v>65</v>
      </c>
      <c r="D1665" s="5" t="s">
        <v>66</v>
      </c>
      <c r="E1665" s="5" t="s">
        <v>484</v>
      </c>
      <c r="F1665" s="9">
        <v>53</v>
      </c>
      <c r="G1665" s="9">
        <v>590</v>
      </c>
      <c r="H1665" s="5" t="s">
        <v>20</v>
      </c>
      <c r="I1665" s="5" t="s">
        <v>4273</v>
      </c>
      <c r="J1665" s="12" t="str">
        <f>HYPERLINK("https://www.boe.es/gazeta/dias/1804/07/03/pdfs/GMD-1804-53.pdf#page=8","Abrir facsímil")</f>
        <v>Abrir facsímil</v>
      </c>
      <c r="K1665" s="15" t="s">
        <v>22</v>
      </c>
    </row>
    <row r="1666" spans="1:11" ht="42" customHeight="1">
      <c r="A1666" s="4" t="s">
        <v>4274</v>
      </c>
      <c r="B1666" s="5" t="s">
        <v>4275</v>
      </c>
      <c r="C1666" s="5" t="s">
        <v>27</v>
      </c>
      <c r="D1666" s="5" t="s">
        <v>28</v>
      </c>
      <c r="E1666" s="5" t="s">
        <v>1179</v>
      </c>
      <c r="F1666" s="9">
        <v>43</v>
      </c>
      <c r="G1666" s="9">
        <v>479</v>
      </c>
      <c r="H1666" s="5" t="s">
        <v>20</v>
      </c>
      <c r="I1666" s="5" t="s">
        <v>4276</v>
      </c>
      <c r="J1666" s="12" t="str">
        <f>HYPERLINK("https://www.boe.es/gazeta/dias/1804/05/29/pdfs/GMD-1804-43.pdf#page=5","Abrir facsímil")</f>
        <v>Abrir facsímil</v>
      </c>
      <c r="K1666" s="15" t="s">
        <v>22</v>
      </c>
    </row>
    <row r="1667" spans="1:11" ht="42" customHeight="1">
      <c r="A1667" s="4" t="s">
        <v>4277</v>
      </c>
      <c r="B1667" s="5" t="s">
        <v>4277</v>
      </c>
      <c r="C1667" s="5" t="s">
        <v>27</v>
      </c>
      <c r="D1667" s="5" t="s">
        <v>28</v>
      </c>
      <c r="E1667" s="5" t="s">
        <v>339</v>
      </c>
      <c r="F1667" s="9">
        <v>94</v>
      </c>
      <c r="G1667" s="9">
        <v>1038</v>
      </c>
      <c r="H1667" s="5" t="s">
        <v>20</v>
      </c>
      <c r="I1667" s="5" t="s">
        <v>4278</v>
      </c>
      <c r="J1667" s="12" t="str">
        <f>HYPERLINK("https://www.boe.es/gazeta/dias/1804/11/23/pdfs/GMD-1804-94.pdf#page=6","Abrir facsímil")</f>
        <v>Abrir facsímil</v>
      </c>
      <c r="K1667" s="15" t="s">
        <v>22</v>
      </c>
    </row>
    <row r="1668" spans="1:11" ht="42" customHeight="1">
      <c r="A1668" s="4" t="s">
        <v>4279</v>
      </c>
      <c r="B1668" s="5" t="s">
        <v>4280</v>
      </c>
      <c r="C1668" s="5" t="s">
        <v>198</v>
      </c>
      <c r="D1668" s="5" t="s">
        <v>66</v>
      </c>
      <c r="E1668" s="5" t="s">
        <v>43</v>
      </c>
      <c r="F1668" s="9">
        <v>84</v>
      </c>
      <c r="G1668" s="9">
        <v>923</v>
      </c>
      <c r="H1668" s="5" t="s">
        <v>20</v>
      </c>
      <c r="I1668" s="5" t="s">
        <v>4281</v>
      </c>
      <c r="J1668" s="12" t="str">
        <f>HYPERLINK("https://www.boe.es/gazeta/dias/1804/10/19/pdfs/GMD-1804-84.pdf#page=1","Abrir facsímil")</f>
        <v>Abrir facsímil</v>
      </c>
      <c r="K1668" s="15" t="s">
        <v>22</v>
      </c>
    </row>
    <row r="1669" spans="1:11" ht="42" customHeight="1">
      <c r="A1669" s="4" t="s">
        <v>4282</v>
      </c>
      <c r="B1669" s="5" t="s">
        <v>4283</v>
      </c>
      <c r="C1669" s="5" t="s">
        <v>85</v>
      </c>
      <c r="D1669" s="5" t="s">
        <v>86</v>
      </c>
      <c r="E1669" s="5" t="s">
        <v>136</v>
      </c>
      <c r="F1669" s="9">
        <v>23</v>
      </c>
      <c r="G1669" s="9">
        <v>259</v>
      </c>
      <c r="H1669" s="5" t="s">
        <v>20</v>
      </c>
      <c r="I1669" s="5" t="s">
        <v>4284</v>
      </c>
      <c r="J1669" s="12" t="str">
        <f>HYPERLINK("https://www.boe.es/gazeta/dias/1804/03/20/pdfs/GMD-1804-23.pdf#page=5","Abrir facsímil")</f>
        <v>Abrir facsímil</v>
      </c>
      <c r="K1669" s="15" t="s">
        <v>22</v>
      </c>
    </row>
    <row r="1670" spans="1:11" ht="42" customHeight="1">
      <c r="A1670" s="4" t="s">
        <v>4285</v>
      </c>
      <c r="B1670" s="5" t="s">
        <v>4285</v>
      </c>
      <c r="C1670" s="5" t="s">
        <v>17</v>
      </c>
      <c r="D1670" s="5" t="s">
        <v>18</v>
      </c>
      <c r="E1670" s="5" t="s">
        <v>151</v>
      </c>
      <c r="F1670" s="9">
        <v>13</v>
      </c>
      <c r="G1670" s="9">
        <v>142</v>
      </c>
      <c r="H1670" s="5" t="s">
        <v>20</v>
      </c>
      <c r="I1670" s="5" t="s">
        <v>4286</v>
      </c>
      <c r="J1670" s="12" t="str">
        <f>HYPERLINK("https://www.boe.es/gazeta/dias/1804/02/14/pdfs/GMD-1804-13.pdf#page=6","Abrir facsímil")</f>
        <v>Abrir facsímil</v>
      </c>
      <c r="K1670" s="15" t="s">
        <v>22</v>
      </c>
    </row>
    <row r="1671" spans="1:11" ht="42" customHeight="1">
      <c r="A1671" s="4" t="s">
        <v>4287</v>
      </c>
      <c r="B1671" s="5" t="s">
        <v>4288</v>
      </c>
      <c r="C1671" s="5" t="s">
        <v>27</v>
      </c>
      <c r="D1671" s="5" t="s">
        <v>28</v>
      </c>
      <c r="E1671" s="5" t="s">
        <v>163</v>
      </c>
      <c r="F1671" s="9">
        <v>70</v>
      </c>
      <c r="G1671" s="9">
        <v>779</v>
      </c>
      <c r="H1671" s="5" t="s">
        <v>20</v>
      </c>
      <c r="I1671" s="5" t="s">
        <v>4289</v>
      </c>
      <c r="J1671" s="12" t="str">
        <f>HYPERLINK("https://www.boe.es/gazeta/dias/1804/08/31/pdfs/GMD-1804-70.pdf#page=1","Abrir facsímil")</f>
        <v>Abrir facsímil</v>
      </c>
      <c r="K1671" s="15" t="s">
        <v>22</v>
      </c>
    </row>
    <row r="1672" spans="1:11" ht="42" customHeight="1">
      <c r="A1672" s="4" t="s">
        <v>4290</v>
      </c>
      <c r="B1672" s="5" t="s">
        <v>4291</v>
      </c>
      <c r="C1672" s="5" t="s">
        <v>17</v>
      </c>
      <c r="D1672" s="5" t="s">
        <v>18</v>
      </c>
      <c r="E1672" s="5" t="s">
        <v>308</v>
      </c>
      <c r="F1672" s="9">
        <v>96</v>
      </c>
      <c r="G1672" s="9">
        <v>1066</v>
      </c>
      <c r="H1672" s="5" t="s">
        <v>20</v>
      </c>
      <c r="I1672" s="5" t="s">
        <v>4292</v>
      </c>
      <c r="J1672" s="12" t="str">
        <f>HYPERLINK("https://www.boe.es/gazeta/dias/1804/11/30/pdfs/GMD-1804-96.pdf#page=6","Abrir facsímil")</f>
        <v>Abrir facsímil</v>
      </c>
      <c r="K1672" s="15" t="s">
        <v>22</v>
      </c>
    </row>
    <row r="1673" spans="1:11" ht="42" customHeight="1">
      <c r="A1673" s="4" t="s">
        <v>4293</v>
      </c>
      <c r="B1673" s="5" t="s">
        <v>4294</v>
      </c>
      <c r="C1673" s="5" t="s">
        <v>120</v>
      </c>
      <c r="D1673" s="5" t="s">
        <v>121</v>
      </c>
      <c r="E1673" s="5" t="s">
        <v>33</v>
      </c>
      <c r="F1673" s="9">
        <v>48</v>
      </c>
      <c r="G1673" s="9" t="s">
        <v>122</v>
      </c>
      <c r="H1673" s="5" t="s">
        <v>20</v>
      </c>
      <c r="I1673" s="5" t="s">
        <v>4295</v>
      </c>
      <c r="J1673" s="12" t="str">
        <f>HYPERLINK("https://www.boe.es/gazeta/dias/1804/06/15/pdfs/GMD-C-1804-48.pdf#page=3","Abrir facsímil")</f>
        <v>Abrir facsímil</v>
      </c>
      <c r="K1673" s="15" t="s">
        <v>22</v>
      </c>
    </row>
    <row r="1674" spans="1:11" ht="42" customHeight="1">
      <c r="A1674" s="4" t="s">
        <v>4296</v>
      </c>
      <c r="B1674" s="5" t="s">
        <v>4297</v>
      </c>
      <c r="C1674" s="5" t="s">
        <v>27</v>
      </c>
      <c r="D1674" s="5" t="s">
        <v>28</v>
      </c>
      <c r="E1674" s="5" t="s">
        <v>43</v>
      </c>
      <c r="F1674" s="9">
        <v>84</v>
      </c>
      <c r="G1674" s="9">
        <v>928</v>
      </c>
      <c r="H1674" s="5" t="s">
        <v>20</v>
      </c>
      <c r="I1674" s="5" t="s">
        <v>4298</v>
      </c>
      <c r="J1674" s="12" t="str">
        <f>HYPERLINK("https://www.boe.es/gazeta/dias/1804/10/19/pdfs/GMD-1804-84.pdf#page=6","Abrir facsímil")</f>
        <v>Abrir facsímil</v>
      </c>
      <c r="K1674" s="15" t="s">
        <v>22</v>
      </c>
    </row>
    <row r="1675" spans="1:11" ht="42" customHeight="1">
      <c r="A1675" s="4" t="s">
        <v>4299</v>
      </c>
      <c r="B1675" s="5" t="s">
        <v>4299</v>
      </c>
      <c r="C1675" s="5" t="s">
        <v>27</v>
      </c>
      <c r="D1675" s="5" t="s">
        <v>28</v>
      </c>
      <c r="E1675" s="5" t="s">
        <v>33</v>
      </c>
      <c r="F1675" s="9">
        <v>48</v>
      </c>
      <c r="G1675" s="9">
        <v>531</v>
      </c>
      <c r="H1675" s="5" t="s">
        <v>20</v>
      </c>
      <c r="I1675" s="5" t="s">
        <v>4300</v>
      </c>
      <c r="J1675" s="12" t="str">
        <f>HYPERLINK("https://www.boe.es/gazeta/dias/1804/06/15/pdfs/GMD-1804-48.pdf#page=1","Abrir facsímil")</f>
        <v>Abrir facsímil</v>
      </c>
      <c r="K1675" s="15" t="s">
        <v>22</v>
      </c>
    </row>
    <row r="1676" spans="1:11" ht="42" customHeight="1">
      <c r="A1676" s="4" t="s">
        <v>4301</v>
      </c>
      <c r="B1676" s="5" t="s">
        <v>4302</v>
      </c>
      <c r="C1676" s="5" t="s">
        <v>27</v>
      </c>
      <c r="D1676" s="5" t="s">
        <v>28</v>
      </c>
      <c r="E1676" s="5" t="s">
        <v>421</v>
      </c>
      <c r="F1676" s="9">
        <v>47</v>
      </c>
      <c r="G1676" s="9">
        <v>528</v>
      </c>
      <c r="H1676" s="5" t="s">
        <v>20</v>
      </c>
      <c r="I1676" s="5" t="s">
        <v>4303</v>
      </c>
      <c r="J1676" s="12" t="str">
        <f>HYPERLINK("https://www.boe.es/gazeta/dias/1804/06/12/pdfs/GMD-1804-47.pdf#page=10","Abrir facsímil")</f>
        <v>Abrir facsímil</v>
      </c>
      <c r="K1676" s="15" t="s">
        <v>22</v>
      </c>
    </row>
    <row r="1677" spans="1:11" ht="42" customHeight="1">
      <c r="A1677" s="4" t="s">
        <v>4304</v>
      </c>
      <c r="B1677" s="5" t="s">
        <v>4305</v>
      </c>
      <c r="C1677" s="5" t="s">
        <v>85</v>
      </c>
      <c r="D1677" s="5" t="s">
        <v>86</v>
      </c>
      <c r="E1677" s="5" t="s">
        <v>54</v>
      </c>
      <c r="F1677" s="9">
        <v>63</v>
      </c>
      <c r="G1677" s="9">
        <v>702</v>
      </c>
      <c r="H1677" s="5" t="s">
        <v>20</v>
      </c>
      <c r="I1677" s="5" t="s">
        <v>4306</v>
      </c>
      <c r="J1677" s="12" t="str">
        <f>HYPERLINK("https://www.boe.es/gazeta/dias/1804/08/07/pdfs/GMD-1804-63.pdf#page=12","Abrir facsímil")</f>
        <v>Abrir facsímil</v>
      </c>
      <c r="K1677" s="15" t="s">
        <v>22</v>
      </c>
    </row>
    <row r="1678" spans="1:11" ht="42" customHeight="1">
      <c r="A1678" s="4" t="s">
        <v>4307</v>
      </c>
      <c r="B1678" s="5" t="s">
        <v>4308</v>
      </c>
      <c r="C1678" s="5" t="s">
        <v>27</v>
      </c>
      <c r="D1678" s="5" t="s">
        <v>28</v>
      </c>
      <c r="E1678" s="5" t="s">
        <v>367</v>
      </c>
      <c r="F1678" s="9">
        <v>64</v>
      </c>
      <c r="G1678" s="9">
        <v>713</v>
      </c>
      <c r="H1678" s="5" t="s">
        <v>20</v>
      </c>
      <c r="I1678" s="5" t="s">
        <v>4309</v>
      </c>
      <c r="J1678" s="12" t="str">
        <f>HYPERLINK("https://www.boe.es/gazeta/dias/1804/08/10/pdfs/GMD-1804-64.pdf#page=7","Abrir facsímil")</f>
        <v>Abrir facsímil</v>
      </c>
      <c r="K1678" s="15" t="s">
        <v>22</v>
      </c>
    </row>
    <row r="1679" spans="1:11" ht="42" customHeight="1">
      <c r="A1679" s="4" t="s">
        <v>4310</v>
      </c>
      <c r="B1679" s="5" t="s">
        <v>4310</v>
      </c>
      <c r="C1679" s="5" t="s">
        <v>27</v>
      </c>
      <c r="D1679" s="5" t="s">
        <v>28</v>
      </c>
      <c r="E1679" s="5" t="s">
        <v>320</v>
      </c>
      <c r="F1679" s="9">
        <v>31</v>
      </c>
      <c r="G1679" s="9">
        <v>340</v>
      </c>
      <c r="H1679" s="5" t="s">
        <v>20</v>
      </c>
      <c r="I1679" s="5" t="s">
        <v>4311</v>
      </c>
      <c r="J1679" s="12" t="str">
        <f>HYPERLINK("https://www.boe.es/gazeta/dias/1804/04/17/pdfs/GMD-1804-31.pdf#page=6","Abrir facsímil")</f>
        <v>Abrir facsímil</v>
      </c>
      <c r="K1679" s="15" t="s">
        <v>22</v>
      </c>
    </row>
    <row r="1680" spans="1:11" ht="42" customHeight="1">
      <c r="A1680" s="4" t="s">
        <v>4310</v>
      </c>
      <c r="B1680" s="5" t="s">
        <v>4310</v>
      </c>
      <c r="C1680" s="5" t="s">
        <v>57</v>
      </c>
      <c r="D1680" s="5" t="s">
        <v>58</v>
      </c>
      <c r="E1680" s="5" t="s">
        <v>320</v>
      </c>
      <c r="F1680" s="9">
        <v>31</v>
      </c>
      <c r="G1680" s="9">
        <v>341</v>
      </c>
      <c r="H1680" s="5" t="s">
        <v>20</v>
      </c>
      <c r="I1680" s="5" t="s">
        <v>4312</v>
      </c>
      <c r="J1680" s="12" t="str">
        <f>HYPERLINK("https://www.boe.es/gazeta/dias/1804/04/17/pdfs/GMD-1804-31.pdf#page=7","Abrir facsímil")</f>
        <v>Abrir facsímil</v>
      </c>
      <c r="K1680" s="15" t="s">
        <v>22</v>
      </c>
    </row>
    <row r="1681" spans="1:11" ht="42" customHeight="1">
      <c r="A1681" s="4" t="s">
        <v>4310</v>
      </c>
      <c r="B1681" s="5" t="s">
        <v>4310</v>
      </c>
      <c r="C1681" s="5" t="s">
        <v>27</v>
      </c>
      <c r="D1681" s="5" t="s">
        <v>28</v>
      </c>
      <c r="E1681" s="5" t="s">
        <v>109</v>
      </c>
      <c r="F1681" s="9">
        <v>35</v>
      </c>
      <c r="G1681" s="9">
        <v>381</v>
      </c>
      <c r="H1681" s="5" t="s">
        <v>20</v>
      </c>
      <c r="I1681" s="5" t="s">
        <v>4313</v>
      </c>
      <c r="J1681" s="12" t="str">
        <f>HYPERLINK("https://www.boe.es/gazeta/dias/1804/05/01/pdfs/GMD-1804-35.pdf#page=3","Abrir facsímil")</f>
        <v>Abrir facsímil</v>
      </c>
      <c r="K1681" s="15" t="s">
        <v>22</v>
      </c>
    </row>
    <row r="1682" spans="1:11" ht="42" customHeight="1">
      <c r="A1682" s="4" t="s">
        <v>4310</v>
      </c>
      <c r="B1682" s="5" t="s">
        <v>4310</v>
      </c>
      <c r="C1682" s="5" t="s">
        <v>17</v>
      </c>
      <c r="D1682" s="5" t="s">
        <v>18</v>
      </c>
      <c r="E1682" s="5" t="s">
        <v>109</v>
      </c>
      <c r="F1682" s="9">
        <v>35</v>
      </c>
      <c r="G1682" s="9">
        <v>382</v>
      </c>
      <c r="H1682" s="5" t="s">
        <v>20</v>
      </c>
      <c r="I1682" s="5" t="s">
        <v>4314</v>
      </c>
      <c r="J1682" s="12" t="str">
        <f>HYPERLINK("https://www.boe.es/gazeta/dias/1804/05/01/pdfs/GMD-1804-35.pdf#page=4","Abrir facsímil")</f>
        <v>Abrir facsímil</v>
      </c>
      <c r="K1682" s="15" t="s">
        <v>22</v>
      </c>
    </row>
    <row r="1683" spans="1:11" ht="42" customHeight="1">
      <c r="A1683" s="4" t="s">
        <v>4310</v>
      </c>
      <c r="B1683" s="5" t="s">
        <v>4310</v>
      </c>
      <c r="C1683" s="5" t="s">
        <v>17</v>
      </c>
      <c r="D1683" s="5" t="s">
        <v>18</v>
      </c>
      <c r="E1683" s="5" t="s">
        <v>109</v>
      </c>
      <c r="F1683" s="9">
        <v>35</v>
      </c>
      <c r="G1683" s="9">
        <v>386</v>
      </c>
      <c r="H1683" s="5" t="s">
        <v>20</v>
      </c>
      <c r="I1683" s="5" t="s">
        <v>4315</v>
      </c>
      <c r="J1683" s="12" t="str">
        <f>HYPERLINK("https://www.boe.es/gazeta/dias/1804/05/01/pdfs/GMD-1804-35.pdf#page=8","Abrir facsímil")</f>
        <v>Abrir facsímil</v>
      </c>
      <c r="K1683" s="15" t="s">
        <v>22</v>
      </c>
    </row>
    <row r="1684" spans="1:11" ht="42" customHeight="1">
      <c r="A1684" s="4" t="s">
        <v>4310</v>
      </c>
      <c r="B1684" s="5" t="s">
        <v>4310</v>
      </c>
      <c r="C1684" s="5" t="s">
        <v>27</v>
      </c>
      <c r="D1684" s="5" t="s">
        <v>28</v>
      </c>
      <c r="E1684" s="5" t="s">
        <v>670</v>
      </c>
      <c r="F1684" s="9">
        <v>41</v>
      </c>
      <c r="G1684" s="9">
        <v>453</v>
      </c>
      <c r="H1684" s="5" t="s">
        <v>20</v>
      </c>
      <c r="I1684" s="5" t="s">
        <v>4316</v>
      </c>
      <c r="J1684" s="12" t="str">
        <f>HYPERLINK("https://www.boe.es/gazeta/dias/1804/05/22/pdfs/GMD-1804-41.pdf#page=3","Abrir facsímil")</f>
        <v>Abrir facsímil</v>
      </c>
      <c r="K1684" s="15" t="s">
        <v>22</v>
      </c>
    </row>
    <row r="1685" spans="1:11" ht="42" customHeight="1">
      <c r="A1685" s="4" t="s">
        <v>4310</v>
      </c>
      <c r="B1685" s="5" t="s">
        <v>4310</v>
      </c>
      <c r="C1685" s="5" t="s">
        <v>27</v>
      </c>
      <c r="D1685" s="5" t="s">
        <v>28</v>
      </c>
      <c r="E1685" s="5" t="s">
        <v>1179</v>
      </c>
      <c r="F1685" s="9">
        <v>43</v>
      </c>
      <c r="G1685" s="9">
        <v>475</v>
      </c>
      <c r="H1685" s="5" t="s">
        <v>20</v>
      </c>
      <c r="I1685" s="5" t="s">
        <v>4317</v>
      </c>
      <c r="J1685" s="12" t="str">
        <f>HYPERLINK("https://www.boe.es/gazeta/dias/1804/05/29/pdfs/GMD-1804-43.pdf#page=1","Abrir facsímil")</f>
        <v>Abrir facsímil</v>
      </c>
      <c r="K1685" s="15" t="s">
        <v>22</v>
      </c>
    </row>
    <row r="1686" spans="1:11" ht="42" customHeight="1">
      <c r="A1686" s="4" t="s">
        <v>4310</v>
      </c>
      <c r="B1686" s="5" t="s">
        <v>4310</v>
      </c>
      <c r="C1686" s="5" t="s">
        <v>198</v>
      </c>
      <c r="D1686" s="5" t="s">
        <v>66</v>
      </c>
      <c r="E1686" s="5" t="s">
        <v>33</v>
      </c>
      <c r="F1686" s="9">
        <v>48</v>
      </c>
      <c r="G1686" s="9">
        <v>533</v>
      </c>
      <c r="H1686" s="5" t="s">
        <v>20</v>
      </c>
      <c r="I1686" s="5" t="s">
        <v>4318</v>
      </c>
      <c r="J1686" s="12" t="str">
        <f>HYPERLINK("https://www.boe.es/gazeta/dias/1804/06/15/pdfs/GMD-1804-48.pdf#page=3","Abrir facsímil")</f>
        <v>Abrir facsímil</v>
      </c>
      <c r="K1686" s="15" t="s">
        <v>22</v>
      </c>
    </row>
    <row r="1687" spans="1:11" ht="42" customHeight="1">
      <c r="A1687" s="4" t="s">
        <v>4319</v>
      </c>
      <c r="B1687" s="5" t="s">
        <v>4320</v>
      </c>
      <c r="C1687" s="5" t="s">
        <v>198</v>
      </c>
      <c r="D1687" s="5" t="s">
        <v>66</v>
      </c>
      <c r="E1687" s="5" t="s">
        <v>511</v>
      </c>
      <c r="F1687" s="9">
        <v>12</v>
      </c>
      <c r="G1687" s="9">
        <v>135</v>
      </c>
      <c r="H1687" s="5" t="s">
        <v>20</v>
      </c>
      <c r="I1687" s="5" t="s">
        <v>4321</v>
      </c>
      <c r="J1687" s="12" t="str">
        <f>HYPERLINK("https://www.boe.es/gazeta/dias/1804/02/10/pdfs/GMD-1804-12.pdf#page=11","Abrir facsímil")</f>
        <v>Abrir facsímil</v>
      </c>
      <c r="K1687" s="15" t="s">
        <v>22</v>
      </c>
    </row>
    <row r="1688" spans="1:11" ht="42" customHeight="1">
      <c r="A1688" s="4" t="s">
        <v>4322</v>
      </c>
      <c r="B1688" s="5" t="s">
        <v>4322</v>
      </c>
      <c r="C1688" s="5" t="s">
        <v>27</v>
      </c>
      <c r="D1688" s="5" t="s">
        <v>28</v>
      </c>
      <c r="E1688" s="5" t="s">
        <v>103</v>
      </c>
      <c r="F1688" s="9">
        <v>11</v>
      </c>
      <c r="G1688" s="9">
        <v>113</v>
      </c>
      <c r="H1688" s="5" t="s">
        <v>20</v>
      </c>
      <c r="I1688" s="5" t="s">
        <v>4323</v>
      </c>
      <c r="J1688" s="12" t="str">
        <f>HYPERLINK("https://www.boe.es/gazeta/dias/1804/02/07/pdfs/GMD-1804-11.pdf#page=1","Abrir facsímil")</f>
        <v>Abrir facsímil</v>
      </c>
      <c r="K1688" s="15" t="s">
        <v>22</v>
      </c>
    </row>
    <row r="1689" spans="1:11" ht="42" customHeight="1">
      <c r="A1689" s="4" t="s">
        <v>4324</v>
      </c>
      <c r="B1689" s="5" t="s">
        <v>4324</v>
      </c>
      <c r="C1689" s="5" t="s">
        <v>17</v>
      </c>
      <c r="D1689" s="5" t="s">
        <v>18</v>
      </c>
      <c r="E1689" s="5" t="s">
        <v>317</v>
      </c>
      <c r="F1689" s="9">
        <v>56</v>
      </c>
      <c r="G1689" s="9">
        <v>621</v>
      </c>
      <c r="H1689" s="5" t="s">
        <v>20</v>
      </c>
      <c r="I1689" s="5" t="s">
        <v>4325</v>
      </c>
      <c r="J1689" s="12" t="str">
        <f>HYPERLINK("https://www.boe.es/gazeta/dias/1804/07/13/pdfs/GMD-1804-56.pdf#page=7","Abrir facsímil")</f>
        <v>Abrir facsímil</v>
      </c>
      <c r="K1689" s="15" t="s">
        <v>22</v>
      </c>
    </row>
    <row r="1690" spans="1:11" ht="42" customHeight="1">
      <c r="A1690" s="4" t="s">
        <v>4326</v>
      </c>
      <c r="B1690" s="5" t="s">
        <v>4327</v>
      </c>
      <c r="C1690" s="5" t="s">
        <v>27</v>
      </c>
      <c r="D1690" s="5" t="s">
        <v>28</v>
      </c>
      <c r="E1690" s="5" t="s">
        <v>678</v>
      </c>
      <c r="F1690" s="9">
        <v>104</v>
      </c>
      <c r="G1690" s="9">
        <v>1163</v>
      </c>
      <c r="H1690" s="5" t="s">
        <v>20</v>
      </c>
      <c r="I1690" s="5" t="s">
        <v>4328</v>
      </c>
      <c r="J1690" s="12" t="str">
        <f>HYPERLINK("https://www.boe.es/gazeta/dias/1804/12/28/pdfs/GMD-1804-104.pdf#page=11","Abrir facsímil")</f>
        <v>Abrir facsímil</v>
      </c>
      <c r="K1690" s="15" t="s">
        <v>22</v>
      </c>
    </row>
    <row r="1691" spans="1:11" ht="42" customHeight="1">
      <c r="A1691" s="4" t="s">
        <v>4329</v>
      </c>
      <c r="B1691" s="5" t="s">
        <v>4330</v>
      </c>
      <c r="C1691" s="5" t="s">
        <v>27</v>
      </c>
      <c r="D1691" s="5" t="s">
        <v>28</v>
      </c>
      <c r="E1691" s="5" t="s">
        <v>317</v>
      </c>
      <c r="F1691" s="9">
        <v>56</v>
      </c>
      <c r="G1691" s="9">
        <v>620</v>
      </c>
      <c r="H1691" s="5" t="s">
        <v>20</v>
      </c>
      <c r="I1691" s="5" t="s">
        <v>4331</v>
      </c>
      <c r="J1691" s="12" t="str">
        <f>HYPERLINK("https://www.boe.es/gazeta/dias/1804/07/13/pdfs/GMD-1804-56.pdf#page=6","Abrir facsímil")</f>
        <v>Abrir facsímil</v>
      </c>
      <c r="K1691" s="15" t="s">
        <v>22</v>
      </c>
    </row>
    <row r="1692" spans="1:11" ht="42" customHeight="1">
      <c r="A1692" s="4" t="s">
        <v>4332</v>
      </c>
      <c r="B1692" s="5" t="s">
        <v>4332</v>
      </c>
      <c r="C1692" s="5" t="s">
        <v>27</v>
      </c>
      <c r="D1692" s="5" t="s">
        <v>28</v>
      </c>
      <c r="E1692" s="5" t="s">
        <v>67</v>
      </c>
      <c r="F1692" s="9">
        <v>59</v>
      </c>
      <c r="G1692" s="9">
        <v>650</v>
      </c>
      <c r="H1692" s="5" t="s">
        <v>20</v>
      </c>
      <c r="I1692" s="5" t="s">
        <v>4333</v>
      </c>
      <c r="J1692" s="12" t="str">
        <f>HYPERLINK("https://www.boe.es/gazeta/dias/1804/07/24/pdfs/GMD-1804-59.pdf#page=4","Abrir facsímil")</f>
        <v>Abrir facsímil</v>
      </c>
      <c r="K1692" s="15" t="s">
        <v>22</v>
      </c>
    </row>
    <row r="1693" spans="1:11" ht="42" customHeight="1">
      <c r="A1693" s="4" t="s">
        <v>4334</v>
      </c>
      <c r="B1693" s="5" t="s">
        <v>4335</v>
      </c>
      <c r="C1693" s="5" t="s">
        <v>27</v>
      </c>
      <c r="D1693" s="5" t="s">
        <v>28</v>
      </c>
      <c r="E1693" s="5" t="s">
        <v>132</v>
      </c>
      <c r="F1693" s="9">
        <v>52</v>
      </c>
      <c r="G1693" s="9">
        <v>573</v>
      </c>
      <c r="H1693" s="5" t="s">
        <v>20</v>
      </c>
      <c r="I1693" s="5" t="s">
        <v>4336</v>
      </c>
      <c r="J1693" s="12" t="str">
        <f>HYPERLINK("https://www.boe.es/gazeta/dias/1804/06/29/pdfs/GMD-1804-52.pdf#page=7","Abrir facsímil")</f>
        <v>Abrir facsímil</v>
      </c>
      <c r="K1693" s="15" t="s">
        <v>22</v>
      </c>
    </row>
    <row r="1694" spans="1:11" ht="42" customHeight="1">
      <c r="A1694" s="4" t="s">
        <v>4337</v>
      </c>
      <c r="B1694" s="5" t="s">
        <v>4338</v>
      </c>
      <c r="C1694" s="5" t="s">
        <v>57</v>
      </c>
      <c r="D1694" s="5" t="s">
        <v>58</v>
      </c>
      <c r="E1694" s="5" t="s">
        <v>81</v>
      </c>
      <c r="F1694" s="9">
        <v>98</v>
      </c>
      <c r="G1694" s="9">
        <v>1086</v>
      </c>
      <c r="H1694" s="5" t="s">
        <v>20</v>
      </c>
      <c r="I1694" s="5" t="s">
        <v>4339</v>
      </c>
      <c r="J1694" s="12" t="str">
        <f>HYPERLINK("https://www.boe.es/gazeta/dias/1804/12/07/pdfs/GMD-1804-98.pdf#page=2","Abrir facsímil")</f>
        <v>Abrir facsímil</v>
      </c>
      <c r="K1694" s="15" t="s">
        <v>22</v>
      </c>
    </row>
    <row r="1695" spans="1:11" ht="42" customHeight="1">
      <c r="A1695" s="4" t="s">
        <v>4340</v>
      </c>
      <c r="B1695" s="5" t="s">
        <v>4341</v>
      </c>
      <c r="C1695" s="5" t="s">
        <v>27</v>
      </c>
      <c r="D1695" s="5" t="s">
        <v>28</v>
      </c>
      <c r="E1695" s="5" t="s">
        <v>339</v>
      </c>
      <c r="F1695" s="9">
        <v>94</v>
      </c>
      <c r="G1695" s="9">
        <v>1038</v>
      </c>
      <c r="H1695" s="5" t="s">
        <v>20</v>
      </c>
      <c r="I1695" s="5" t="s">
        <v>4342</v>
      </c>
      <c r="J1695" s="12" t="str">
        <f>HYPERLINK("https://www.boe.es/gazeta/dias/1804/11/23/pdfs/GMD-1804-94.pdf#page=6","Abrir facsímil")</f>
        <v>Abrir facsímil</v>
      </c>
      <c r="K1695" s="15" t="s">
        <v>22</v>
      </c>
    </row>
    <row r="1696" spans="1:11" ht="42" customHeight="1">
      <c r="A1696" s="4" t="s">
        <v>4343</v>
      </c>
      <c r="B1696" s="5" t="s">
        <v>4344</v>
      </c>
      <c r="C1696" s="5" t="s">
        <v>57</v>
      </c>
      <c r="D1696" s="5" t="s">
        <v>58</v>
      </c>
      <c r="E1696" s="5" t="s">
        <v>538</v>
      </c>
      <c r="F1696" s="9">
        <v>27</v>
      </c>
      <c r="G1696" s="9">
        <v>297</v>
      </c>
      <c r="H1696" s="5" t="s">
        <v>20</v>
      </c>
      <c r="I1696" s="5" t="s">
        <v>4345</v>
      </c>
      <c r="J1696" s="12" t="str">
        <f>HYPERLINK("https://www.boe.es/gazeta/dias/1804/04/03/pdfs/GMD-1804-27.pdf#page=3","Abrir facsímil")</f>
        <v>Abrir facsímil</v>
      </c>
      <c r="K1696" s="15" t="s">
        <v>22</v>
      </c>
    </row>
    <row r="1697" spans="1:11" ht="42" customHeight="1">
      <c r="A1697" s="4" t="s">
        <v>4346</v>
      </c>
      <c r="B1697" s="5" t="s">
        <v>4346</v>
      </c>
      <c r="C1697" s="5" t="s">
        <v>198</v>
      </c>
      <c r="D1697" s="5" t="s">
        <v>66</v>
      </c>
      <c r="E1697" s="5" t="s">
        <v>576</v>
      </c>
      <c r="F1697" s="9">
        <v>85</v>
      </c>
      <c r="G1697" s="9">
        <v>933</v>
      </c>
      <c r="H1697" s="5" t="s">
        <v>20</v>
      </c>
      <c r="I1697" s="5" t="s">
        <v>4347</v>
      </c>
      <c r="J1697" s="12" t="str">
        <f>HYPERLINK("https://www.boe.es/gazeta/dias/1804/10/23/pdfs/GMD-1804-85.pdf#page=3","Abrir facsímil")</f>
        <v>Abrir facsímil</v>
      </c>
      <c r="K1697" s="15" t="s">
        <v>22</v>
      </c>
    </row>
    <row r="1698" spans="1:11" ht="42" customHeight="1">
      <c r="A1698" s="4" t="s">
        <v>4346</v>
      </c>
      <c r="B1698" s="5" t="s">
        <v>4346</v>
      </c>
      <c r="C1698" s="5" t="s">
        <v>17</v>
      </c>
      <c r="D1698" s="5" t="s">
        <v>18</v>
      </c>
      <c r="E1698" s="5" t="s">
        <v>29</v>
      </c>
      <c r="F1698" s="9">
        <v>88</v>
      </c>
      <c r="G1698" s="9">
        <v>971</v>
      </c>
      <c r="H1698" s="5" t="s">
        <v>20</v>
      </c>
      <c r="I1698" s="5" t="s">
        <v>4348</v>
      </c>
      <c r="J1698" s="12" t="str">
        <f>HYPERLINK("https://www.boe.es/gazeta/dias/1804/11/02/pdfs/GMD-1804-88.pdf#page=3","Abrir facsímil")</f>
        <v>Abrir facsímil</v>
      </c>
      <c r="K1698" s="15" t="s">
        <v>22</v>
      </c>
    </row>
    <row r="1699" spans="1:11" ht="42" customHeight="1">
      <c r="A1699" s="4" t="s">
        <v>4349</v>
      </c>
      <c r="B1699" s="5" t="s">
        <v>4350</v>
      </c>
      <c r="C1699" s="5" t="s">
        <v>57</v>
      </c>
      <c r="D1699" s="5" t="s">
        <v>58</v>
      </c>
      <c r="E1699" s="5" t="s">
        <v>103</v>
      </c>
      <c r="F1699" s="9">
        <v>11</v>
      </c>
      <c r="G1699" s="9">
        <v>115</v>
      </c>
      <c r="H1699" s="5" t="s">
        <v>20</v>
      </c>
      <c r="I1699" s="5" t="s">
        <v>4351</v>
      </c>
      <c r="J1699" s="12" t="str">
        <f>HYPERLINK("https://www.boe.es/gazeta/dias/1804/02/07/pdfs/GMD-1804-11.pdf#page=3","Abrir facsímil")</f>
        <v>Abrir facsímil</v>
      </c>
      <c r="K1699" s="15" t="s">
        <v>22</v>
      </c>
    </row>
    <row r="1700" spans="1:11" ht="42" customHeight="1">
      <c r="A1700" s="4" t="s">
        <v>4349</v>
      </c>
      <c r="B1700" s="5" t="s">
        <v>4350</v>
      </c>
      <c r="C1700" s="5" t="s">
        <v>57</v>
      </c>
      <c r="D1700" s="5" t="s">
        <v>58</v>
      </c>
      <c r="E1700" s="5" t="s">
        <v>637</v>
      </c>
      <c r="F1700" s="9">
        <v>74</v>
      </c>
      <c r="G1700" s="9">
        <v>827</v>
      </c>
      <c r="H1700" s="5" t="s">
        <v>20</v>
      </c>
      <c r="I1700" s="5" t="s">
        <v>4352</v>
      </c>
      <c r="J1700" s="12" t="str">
        <f>HYPERLINK("https://www.boe.es/gazeta/dias/1804/09/14/pdfs/GMD-1804-74.pdf#page=5","Abrir facsímil")</f>
        <v>Abrir facsímil</v>
      </c>
      <c r="K1700" s="15" t="s">
        <v>22</v>
      </c>
    </row>
    <row r="1701" spans="1:11" ht="42" customHeight="1">
      <c r="A1701" s="4" t="s">
        <v>4349</v>
      </c>
      <c r="B1701" s="5" t="s">
        <v>4350</v>
      </c>
      <c r="C1701" s="5" t="s">
        <v>57</v>
      </c>
      <c r="D1701" s="5" t="s">
        <v>58</v>
      </c>
      <c r="E1701" s="5" t="s">
        <v>308</v>
      </c>
      <c r="F1701" s="9">
        <v>96</v>
      </c>
      <c r="G1701" s="9">
        <v>1065</v>
      </c>
      <c r="H1701" s="5" t="s">
        <v>20</v>
      </c>
      <c r="I1701" s="5" t="s">
        <v>4353</v>
      </c>
      <c r="J1701" s="12" t="str">
        <f>HYPERLINK("https://www.boe.es/gazeta/dias/1804/11/30/pdfs/GMD-1804-96.pdf#page=5","Abrir facsímil")</f>
        <v>Abrir facsímil</v>
      </c>
      <c r="K1701" s="15" t="s">
        <v>22</v>
      </c>
    </row>
    <row r="1702" spans="1:11" ht="42" customHeight="1">
      <c r="A1702" s="4" t="s">
        <v>4354</v>
      </c>
      <c r="B1702" s="5" t="s">
        <v>4354</v>
      </c>
      <c r="C1702" s="5" t="s">
        <v>57</v>
      </c>
      <c r="D1702" s="5" t="s">
        <v>58</v>
      </c>
      <c r="E1702" s="5" t="s">
        <v>206</v>
      </c>
      <c r="F1702" s="9">
        <v>44</v>
      </c>
      <c r="G1702" s="9">
        <v>485</v>
      </c>
      <c r="H1702" s="5" t="s">
        <v>20</v>
      </c>
      <c r="I1702" s="5" t="s">
        <v>4355</v>
      </c>
      <c r="J1702" s="12" t="str">
        <f>HYPERLINK("https://www.boe.es/gazeta/dias/1804/06/01/pdfs/GMD-1804-44.pdf#page=3","Abrir facsímil")</f>
        <v>Abrir facsímil</v>
      </c>
      <c r="K1702" s="15" t="s">
        <v>22</v>
      </c>
    </row>
    <row r="1703" spans="1:11" ht="42" customHeight="1">
      <c r="A1703" s="4" t="s">
        <v>4356</v>
      </c>
      <c r="B1703" s="5" t="s">
        <v>4357</v>
      </c>
      <c r="C1703" s="5" t="s">
        <v>27</v>
      </c>
      <c r="D1703" s="5" t="s">
        <v>28</v>
      </c>
      <c r="E1703" s="5" t="s">
        <v>623</v>
      </c>
      <c r="F1703" s="9">
        <v>51</v>
      </c>
      <c r="G1703" s="9">
        <v>556</v>
      </c>
      <c r="H1703" s="5" t="s">
        <v>20</v>
      </c>
      <c r="I1703" s="5" t="s">
        <v>4358</v>
      </c>
      <c r="J1703" s="12" t="str">
        <f>HYPERLINK("https://www.boe.es/gazeta/dias/1804/06/26/pdfs/GMD-1804-51.pdf#page=2","Abrir facsímil")</f>
        <v>Abrir facsímil</v>
      </c>
      <c r="K1703" s="15" t="s">
        <v>22</v>
      </c>
    </row>
    <row r="1704" spans="1:11" ht="42" customHeight="1">
      <c r="A1704" s="4" t="s">
        <v>4359</v>
      </c>
      <c r="B1704" s="5" t="s">
        <v>4359</v>
      </c>
      <c r="C1704" s="5" t="s">
        <v>27</v>
      </c>
      <c r="D1704" s="5" t="s">
        <v>28</v>
      </c>
      <c r="E1704" s="5" t="s">
        <v>132</v>
      </c>
      <c r="F1704" s="9">
        <v>52</v>
      </c>
      <c r="G1704" s="9">
        <v>570</v>
      </c>
      <c r="H1704" s="5" t="s">
        <v>20</v>
      </c>
      <c r="I1704" s="5" t="s">
        <v>4360</v>
      </c>
      <c r="J1704" s="12" t="str">
        <f>HYPERLINK("https://www.boe.es/gazeta/dias/1804/06/29/pdfs/GMD-1804-52.pdf#page=4","Abrir facsímil")</f>
        <v>Abrir facsímil</v>
      </c>
      <c r="K1704" s="15" t="s">
        <v>22</v>
      </c>
    </row>
    <row r="1705" spans="1:11" ht="42" customHeight="1">
      <c r="A1705" s="4" t="s">
        <v>4361</v>
      </c>
      <c r="B1705" s="5" t="s">
        <v>4361</v>
      </c>
      <c r="C1705" s="5" t="s">
        <v>17</v>
      </c>
      <c r="D1705" s="5" t="s">
        <v>18</v>
      </c>
      <c r="E1705" s="5" t="s">
        <v>587</v>
      </c>
      <c r="F1705" s="9">
        <v>62</v>
      </c>
      <c r="G1705" s="9">
        <v>690</v>
      </c>
      <c r="H1705" s="5" t="s">
        <v>20</v>
      </c>
      <c r="I1705" s="5" t="s">
        <v>4362</v>
      </c>
      <c r="J1705" s="12" t="str">
        <f>HYPERLINK("https://www.boe.es/gazeta/dias/1804/08/03/pdfs/GMD-1804-62.pdf#page=12","Abrir facsímil")</f>
        <v>Abrir facsímil</v>
      </c>
      <c r="K1705" s="15" t="s">
        <v>22</v>
      </c>
    </row>
    <row r="1706" spans="1:11" ht="42" customHeight="1">
      <c r="A1706" s="4" t="s">
        <v>4363</v>
      </c>
      <c r="B1706" s="5" t="s">
        <v>4364</v>
      </c>
      <c r="C1706" s="5" t="s">
        <v>17</v>
      </c>
      <c r="D1706" s="5" t="s">
        <v>18</v>
      </c>
      <c r="E1706" s="5" t="s">
        <v>151</v>
      </c>
      <c r="F1706" s="9">
        <v>13</v>
      </c>
      <c r="G1706" s="9">
        <v>144</v>
      </c>
      <c r="H1706" s="5" t="s">
        <v>20</v>
      </c>
      <c r="I1706" s="5" t="s">
        <v>4365</v>
      </c>
      <c r="J1706" s="12" t="str">
        <f>HYPERLINK("https://www.boe.es/gazeta/dias/1804/02/14/pdfs/GMD-1804-13.pdf#page=8","Abrir facsímil")</f>
        <v>Abrir facsímil</v>
      </c>
      <c r="K1706" s="15" t="s">
        <v>22</v>
      </c>
    </row>
    <row r="1707" spans="1:11" ht="42" customHeight="1">
      <c r="A1707" s="4" t="s">
        <v>4366</v>
      </c>
      <c r="B1707" s="5" t="s">
        <v>4367</v>
      </c>
      <c r="C1707" s="5" t="s">
        <v>57</v>
      </c>
      <c r="D1707" s="5" t="s">
        <v>58</v>
      </c>
      <c r="E1707" s="5" t="s">
        <v>378</v>
      </c>
      <c r="F1707" s="9">
        <v>65</v>
      </c>
      <c r="G1707" s="9">
        <v>727</v>
      </c>
      <c r="H1707" s="5" t="s">
        <v>20</v>
      </c>
      <c r="I1707" s="5" t="s">
        <v>4368</v>
      </c>
      <c r="J1707" s="12" t="str">
        <f>HYPERLINK("https://www.boe.es/gazeta/dias/1804/08/14/pdfs/GMD-1804-65.pdf#page=5","Abrir facsímil")</f>
        <v>Abrir facsímil</v>
      </c>
      <c r="K1707" s="15" t="s">
        <v>22</v>
      </c>
    </row>
    <row r="1708" spans="1:11" ht="42" customHeight="1">
      <c r="A1708" s="4" t="s">
        <v>4366</v>
      </c>
      <c r="B1708" s="5" t="s">
        <v>4367</v>
      </c>
      <c r="C1708" s="5" t="s">
        <v>27</v>
      </c>
      <c r="D1708" s="5" t="s">
        <v>28</v>
      </c>
      <c r="E1708" s="5" t="s">
        <v>29</v>
      </c>
      <c r="F1708" s="9">
        <v>88</v>
      </c>
      <c r="G1708" s="9">
        <v>974</v>
      </c>
      <c r="H1708" s="5" t="s">
        <v>20</v>
      </c>
      <c r="I1708" s="5" t="s">
        <v>4369</v>
      </c>
      <c r="J1708" s="12" t="str">
        <f>HYPERLINK("https://www.boe.es/gazeta/dias/1804/11/02/pdfs/GMD-1804-88.pdf#page=6","Abrir facsímil")</f>
        <v>Abrir facsímil</v>
      </c>
      <c r="K1708" s="15" t="s">
        <v>22</v>
      </c>
    </row>
    <row r="1709" spans="1:11" ht="42" customHeight="1">
      <c r="A1709" s="4" t="s">
        <v>4370</v>
      </c>
      <c r="B1709" s="5" t="s">
        <v>4371</v>
      </c>
      <c r="C1709" s="5" t="s">
        <v>65</v>
      </c>
      <c r="D1709" s="5" t="s">
        <v>66</v>
      </c>
      <c r="E1709" s="5" t="s">
        <v>103</v>
      </c>
      <c r="F1709" s="9">
        <v>11</v>
      </c>
      <c r="G1709" s="9">
        <v>115</v>
      </c>
      <c r="H1709" s="5" t="s">
        <v>20</v>
      </c>
      <c r="I1709" s="5" t="s">
        <v>4372</v>
      </c>
      <c r="J1709" s="12" t="str">
        <f>HYPERLINK("https://www.boe.es/gazeta/dias/1804/02/07/pdfs/GMD-1804-11.pdf#page=3","Abrir facsímil")</f>
        <v>Abrir facsímil</v>
      </c>
      <c r="K1709" s="15" t="s">
        <v>22</v>
      </c>
    </row>
    <row r="1710" spans="1:11" ht="42" customHeight="1">
      <c r="A1710" s="4" t="s">
        <v>4373</v>
      </c>
      <c r="B1710" s="5" t="s">
        <v>4374</v>
      </c>
      <c r="C1710" s="5" t="s">
        <v>57</v>
      </c>
      <c r="D1710" s="5" t="s">
        <v>58</v>
      </c>
      <c r="E1710" s="5" t="s">
        <v>704</v>
      </c>
      <c r="F1710" s="9">
        <v>36</v>
      </c>
      <c r="G1710" s="9">
        <v>393</v>
      </c>
      <c r="H1710" s="5" t="s">
        <v>20</v>
      </c>
      <c r="I1710" s="5" t="s">
        <v>4375</v>
      </c>
      <c r="J1710" s="12" t="str">
        <f>HYPERLINK("https://www.boe.es/gazeta/dias/1804/05/04/pdfs/GMD-1804-36.pdf#page=3","Abrir facsímil")</f>
        <v>Abrir facsímil</v>
      </c>
      <c r="K1710" s="15" t="s">
        <v>22</v>
      </c>
    </row>
    <row r="1711" spans="1:11" ht="42" customHeight="1">
      <c r="A1711" s="4" t="s">
        <v>4376</v>
      </c>
      <c r="B1711" s="5" t="s">
        <v>4377</v>
      </c>
      <c r="C1711" s="5" t="s">
        <v>57</v>
      </c>
      <c r="D1711" s="5" t="s">
        <v>58</v>
      </c>
      <c r="E1711" s="5" t="s">
        <v>360</v>
      </c>
      <c r="F1711" s="9">
        <v>81</v>
      </c>
      <c r="G1711" s="9">
        <v>895</v>
      </c>
      <c r="H1711" s="5" t="s">
        <v>20</v>
      </c>
      <c r="I1711" s="5" t="s">
        <v>4378</v>
      </c>
      <c r="J1711" s="12" t="str">
        <f>HYPERLINK("https://www.boe.es/gazeta/dias/1804/10/09/pdfs/GMD-1804-81.pdf#page=5","Abrir facsímil")</f>
        <v>Abrir facsímil</v>
      </c>
      <c r="K1711" s="15" t="s">
        <v>22</v>
      </c>
    </row>
    <row r="1712" spans="1:11" ht="42" customHeight="1">
      <c r="A1712" s="4" t="s">
        <v>4379</v>
      </c>
      <c r="B1712" s="5" t="s">
        <v>4380</v>
      </c>
      <c r="C1712" s="5" t="s">
        <v>57</v>
      </c>
      <c r="D1712" s="5" t="s">
        <v>58</v>
      </c>
      <c r="E1712" s="5" t="s">
        <v>466</v>
      </c>
      <c r="F1712" s="9">
        <v>76</v>
      </c>
      <c r="G1712" s="9">
        <v>845</v>
      </c>
      <c r="H1712" s="5" t="s">
        <v>20</v>
      </c>
      <c r="I1712" s="5" t="s">
        <v>4381</v>
      </c>
      <c r="J1712" s="12" t="str">
        <f>HYPERLINK("https://www.boe.es/gazeta/dias/1804/09/21/pdfs/GMD-1804-76.pdf#page=3","Abrir facsímil")</f>
        <v>Abrir facsímil</v>
      </c>
      <c r="K1712" s="15" t="s">
        <v>22</v>
      </c>
    </row>
    <row r="1713" spans="1:11" ht="42" customHeight="1">
      <c r="A1713" s="4" t="s">
        <v>4382</v>
      </c>
      <c r="B1713" s="5" t="s">
        <v>4383</v>
      </c>
      <c r="C1713" s="5" t="s">
        <v>57</v>
      </c>
      <c r="D1713" s="5" t="s">
        <v>58</v>
      </c>
      <c r="E1713" s="5" t="s">
        <v>91</v>
      </c>
      <c r="F1713" s="9">
        <v>72</v>
      </c>
      <c r="G1713" s="9">
        <v>804</v>
      </c>
      <c r="H1713" s="5" t="s">
        <v>20</v>
      </c>
      <c r="I1713" s="5" t="s">
        <v>4384</v>
      </c>
      <c r="J1713" s="12" t="str">
        <f>HYPERLINK("https://www.boe.es/gazeta/dias/1804/09/07/pdfs/GMD-1804-72.pdf#page=6","Abrir facsímil")</f>
        <v>Abrir facsímil</v>
      </c>
      <c r="K1713" s="15" t="s">
        <v>22</v>
      </c>
    </row>
    <row r="1714" spans="1:11" ht="42" customHeight="1">
      <c r="A1714" s="4" t="s">
        <v>4385</v>
      </c>
      <c r="B1714" s="5" t="s">
        <v>4386</v>
      </c>
      <c r="C1714" s="5" t="s">
        <v>27</v>
      </c>
      <c r="D1714" s="5" t="s">
        <v>28</v>
      </c>
      <c r="E1714" s="5" t="s">
        <v>302</v>
      </c>
      <c r="F1714" s="9">
        <v>3</v>
      </c>
      <c r="G1714" s="9">
        <v>24</v>
      </c>
      <c r="H1714" s="5" t="s">
        <v>20</v>
      </c>
      <c r="I1714" s="5" t="s">
        <v>4387</v>
      </c>
      <c r="J1714" s="12" t="str">
        <f>HYPERLINK("https://www.boe.es/gazeta/dias/1804/01/10/pdfs/GMD-1804-3.pdf#page=4","Abrir facsímil")</f>
        <v>Abrir facsímil</v>
      </c>
      <c r="K1714" s="15" t="s">
        <v>22</v>
      </c>
    </row>
    <row r="1715" spans="1:11" ht="42" customHeight="1">
      <c r="A1715" s="4" t="s">
        <v>4388</v>
      </c>
      <c r="B1715" s="5" t="s">
        <v>4389</v>
      </c>
      <c r="C1715" s="5" t="s">
        <v>27</v>
      </c>
      <c r="D1715" s="5" t="s">
        <v>28</v>
      </c>
      <c r="E1715" s="5" t="s">
        <v>666</v>
      </c>
      <c r="F1715" s="9">
        <v>57</v>
      </c>
      <c r="G1715" s="9">
        <v>626</v>
      </c>
      <c r="H1715" s="5" t="s">
        <v>20</v>
      </c>
      <c r="I1715" s="5" t="s">
        <v>4390</v>
      </c>
      <c r="J1715" s="12" t="str">
        <f>HYPERLINK("https://www.boe.es/gazeta/dias/1804/07/17/pdfs/GMD-1804-57.pdf#page=4","Abrir facsímil")</f>
        <v>Abrir facsímil</v>
      </c>
      <c r="K1715" s="15" t="s">
        <v>22</v>
      </c>
    </row>
    <row r="1716" spans="1:11" ht="42" customHeight="1">
      <c r="A1716" s="4" t="s">
        <v>4388</v>
      </c>
      <c r="B1716" s="5" t="s">
        <v>4389</v>
      </c>
      <c r="C1716" s="5" t="s">
        <v>57</v>
      </c>
      <c r="D1716" s="5" t="s">
        <v>58</v>
      </c>
      <c r="E1716" s="5" t="s">
        <v>54</v>
      </c>
      <c r="F1716" s="9">
        <v>63</v>
      </c>
      <c r="G1716" s="9">
        <v>696</v>
      </c>
      <c r="H1716" s="5" t="s">
        <v>20</v>
      </c>
      <c r="I1716" s="5" t="s">
        <v>4391</v>
      </c>
      <c r="J1716" s="12" t="str">
        <f>HYPERLINK("https://www.boe.es/gazeta/dias/1804/08/07/pdfs/GMD-1804-63.pdf#page=6","Abrir facsímil")</f>
        <v>Abrir facsímil</v>
      </c>
      <c r="K1716" s="15" t="s">
        <v>22</v>
      </c>
    </row>
    <row r="1717" spans="1:11" ht="42" customHeight="1">
      <c r="A1717" s="4" t="s">
        <v>4392</v>
      </c>
      <c r="B1717" s="5" t="s">
        <v>4392</v>
      </c>
      <c r="C1717" s="5" t="s">
        <v>17</v>
      </c>
      <c r="D1717" s="5" t="s">
        <v>18</v>
      </c>
      <c r="E1717" s="5" t="s">
        <v>199</v>
      </c>
      <c r="F1717" s="9">
        <v>46</v>
      </c>
      <c r="G1717" s="9">
        <v>510</v>
      </c>
      <c r="H1717" s="5" t="s">
        <v>20</v>
      </c>
      <c r="I1717" s="5" t="s">
        <v>4393</v>
      </c>
      <c r="J1717" s="12" t="str">
        <f>HYPERLINK("https://www.boe.es/gazeta/dias/1804/06/08/pdfs/GMD-1804-46.pdf#page=8","Abrir facsímil")</f>
        <v>Abrir facsímil</v>
      </c>
      <c r="K1717" s="15" t="s">
        <v>22</v>
      </c>
    </row>
    <row r="1718" spans="1:11" ht="42" customHeight="1">
      <c r="A1718" s="4" t="s">
        <v>4394</v>
      </c>
      <c r="B1718" s="5" t="s">
        <v>4395</v>
      </c>
      <c r="C1718" s="5" t="s">
        <v>27</v>
      </c>
      <c r="D1718" s="5" t="s">
        <v>28</v>
      </c>
      <c r="E1718" s="5" t="s">
        <v>800</v>
      </c>
      <c r="F1718" s="9">
        <v>45</v>
      </c>
      <c r="G1718" s="9">
        <v>491</v>
      </c>
      <c r="H1718" s="5" t="s">
        <v>20</v>
      </c>
      <c r="I1718" s="5" t="s">
        <v>4396</v>
      </c>
      <c r="J1718" s="12" t="str">
        <f>HYPERLINK("https://www.boe.es/gazeta/dias/1804/06/05/pdfs/GMD-1804-45.pdf#page=1","Abrir facsímil")</f>
        <v>Abrir facsímil</v>
      </c>
      <c r="K1718" s="15" t="s">
        <v>22</v>
      </c>
    </row>
    <row r="1719" spans="1:11" ht="42" customHeight="1">
      <c r="A1719" s="4" t="s">
        <v>4397</v>
      </c>
      <c r="B1719" s="5" t="s">
        <v>4398</v>
      </c>
      <c r="C1719" s="5" t="s">
        <v>27</v>
      </c>
      <c r="D1719" s="5" t="s">
        <v>28</v>
      </c>
      <c r="E1719" s="5" t="s">
        <v>155</v>
      </c>
      <c r="F1719" s="9">
        <v>92</v>
      </c>
      <c r="G1719" s="9">
        <v>1015</v>
      </c>
      <c r="H1719" s="5" t="s">
        <v>20</v>
      </c>
      <c r="I1719" s="5" t="s">
        <v>4399</v>
      </c>
      <c r="J1719" s="12" t="str">
        <f>HYPERLINK("https://www.boe.es/gazeta/dias/1804/11/16/pdfs/GMD-1804-92.pdf#page=3","Abrir facsímil")</f>
        <v>Abrir facsímil</v>
      </c>
      <c r="K1719" s="15" t="s">
        <v>22</v>
      </c>
    </row>
    <row r="1720" spans="1:11" ht="42" customHeight="1">
      <c r="A1720" s="4" t="s">
        <v>4400</v>
      </c>
      <c r="B1720" s="5" t="s">
        <v>4400</v>
      </c>
      <c r="C1720" s="5" t="s">
        <v>57</v>
      </c>
      <c r="D1720" s="5" t="s">
        <v>58</v>
      </c>
      <c r="E1720" s="5" t="s">
        <v>298</v>
      </c>
      <c r="F1720" s="9">
        <v>10</v>
      </c>
      <c r="G1720" s="9">
        <v>107</v>
      </c>
      <c r="H1720" s="5" t="s">
        <v>20</v>
      </c>
      <c r="I1720" s="5" t="s">
        <v>4401</v>
      </c>
      <c r="J1720" s="12" t="str">
        <f>HYPERLINK("https://www.boe.es/gazeta/dias/1804/02/03/pdfs/GMD-1804-10.pdf#page=7","Abrir facsímil")</f>
        <v>Abrir facsímil</v>
      </c>
      <c r="K1720" s="15" t="s">
        <v>22</v>
      </c>
    </row>
    <row r="1721" spans="1:11" ht="42" customHeight="1">
      <c r="A1721" s="4" t="s">
        <v>4402</v>
      </c>
      <c r="B1721" s="5" t="s">
        <v>4403</v>
      </c>
      <c r="C1721" s="5" t="s">
        <v>27</v>
      </c>
      <c r="D1721" s="5" t="s">
        <v>28</v>
      </c>
      <c r="E1721" s="5" t="s">
        <v>484</v>
      </c>
      <c r="F1721" s="9">
        <v>53</v>
      </c>
      <c r="G1721" s="9">
        <v>591</v>
      </c>
      <c r="H1721" s="5" t="s">
        <v>20</v>
      </c>
      <c r="I1721" s="5" t="s">
        <v>4404</v>
      </c>
      <c r="J1721" s="12" t="str">
        <f>HYPERLINK("https://www.boe.es/gazeta/dias/1804/07/03/pdfs/GMD-1804-53.pdf#page=9","Abrir facsímil")</f>
        <v>Abrir facsímil</v>
      </c>
      <c r="K1721" s="15" t="s">
        <v>22</v>
      </c>
    </row>
    <row r="1722" spans="1:11" ht="42" customHeight="1">
      <c r="A1722" s="4" t="s">
        <v>4405</v>
      </c>
      <c r="B1722" s="5" t="s">
        <v>4406</v>
      </c>
      <c r="C1722" s="5" t="s">
        <v>27</v>
      </c>
      <c r="D1722" s="5" t="s">
        <v>28</v>
      </c>
      <c r="E1722" s="5" t="s">
        <v>320</v>
      </c>
      <c r="F1722" s="9">
        <v>31</v>
      </c>
      <c r="G1722" s="9">
        <v>344</v>
      </c>
      <c r="H1722" s="5" t="s">
        <v>20</v>
      </c>
      <c r="I1722" s="5" t="s">
        <v>4407</v>
      </c>
      <c r="J1722" s="12" t="str">
        <f>HYPERLINK("https://www.boe.es/gazeta/dias/1804/04/17/pdfs/GMD-1804-31.pdf#page=10","Abrir facsímil")</f>
        <v>Abrir facsímil</v>
      </c>
      <c r="K1722" s="15" t="s">
        <v>22</v>
      </c>
    </row>
    <row r="1723" spans="1:11" ht="42" customHeight="1">
      <c r="A1723" s="4" t="s">
        <v>4405</v>
      </c>
      <c r="B1723" s="5" t="s">
        <v>4406</v>
      </c>
      <c r="C1723" s="5" t="s">
        <v>65</v>
      </c>
      <c r="D1723" s="5" t="s">
        <v>66</v>
      </c>
      <c r="E1723" s="5" t="s">
        <v>542</v>
      </c>
      <c r="F1723" s="9">
        <v>54</v>
      </c>
      <c r="G1723" s="9">
        <v>601</v>
      </c>
      <c r="H1723" s="5" t="s">
        <v>20</v>
      </c>
      <c r="I1723" s="5" t="s">
        <v>4408</v>
      </c>
      <c r="J1723" s="12" t="str">
        <f>HYPERLINK("https://www.boe.es/gazeta/dias/1804/07/06/pdfs/GMD-1804-54.pdf#page=7","Abrir facsímil")</f>
        <v>Abrir facsímil</v>
      </c>
      <c r="K1723" s="15" t="s">
        <v>22</v>
      </c>
    </row>
    <row r="1724" spans="1:11" ht="42" customHeight="1">
      <c r="A1724" s="4" t="s">
        <v>4409</v>
      </c>
      <c r="B1724" s="5" t="s">
        <v>4410</v>
      </c>
      <c r="C1724" s="5" t="s">
        <v>27</v>
      </c>
      <c r="D1724" s="5" t="s">
        <v>28</v>
      </c>
      <c r="E1724" s="5" t="s">
        <v>182</v>
      </c>
      <c r="F1724" s="9">
        <v>21</v>
      </c>
      <c r="G1724" s="9">
        <v>234</v>
      </c>
      <c r="H1724" s="5" t="s">
        <v>20</v>
      </c>
      <c r="I1724" s="5" t="s">
        <v>4411</v>
      </c>
      <c r="J1724" s="12" t="str">
        <f>HYPERLINK("https://www.boe.es/gazeta/dias/1804/03/13/pdfs/GMD-1804-21.pdf#page=10","Abrir facsímil")</f>
        <v>Abrir facsímil</v>
      </c>
      <c r="K1724" s="15" t="s">
        <v>22</v>
      </c>
    </row>
    <row r="1725" spans="1:11" ht="42" customHeight="1">
      <c r="A1725" s="4" t="s">
        <v>4412</v>
      </c>
      <c r="B1725" s="5" t="s">
        <v>4413</v>
      </c>
      <c r="C1725" s="5" t="s">
        <v>27</v>
      </c>
      <c r="D1725" s="5" t="s">
        <v>28</v>
      </c>
      <c r="E1725" s="5" t="s">
        <v>320</v>
      </c>
      <c r="F1725" s="9">
        <v>31</v>
      </c>
      <c r="G1725" s="9">
        <v>344</v>
      </c>
      <c r="H1725" s="5" t="s">
        <v>20</v>
      </c>
      <c r="I1725" s="5" t="s">
        <v>4414</v>
      </c>
      <c r="J1725" s="12" t="str">
        <f>HYPERLINK("https://www.boe.es/gazeta/dias/1804/04/17/pdfs/GMD-1804-31.pdf#page=10","Abrir facsímil")</f>
        <v>Abrir facsímil</v>
      </c>
      <c r="K1725" s="15" t="s">
        <v>22</v>
      </c>
    </row>
    <row r="1726" spans="1:11" ht="42" customHeight="1">
      <c r="A1726" s="4" t="s">
        <v>4412</v>
      </c>
      <c r="B1726" s="5" t="s">
        <v>4413</v>
      </c>
      <c r="C1726" s="5" t="s">
        <v>27</v>
      </c>
      <c r="D1726" s="5" t="s">
        <v>28</v>
      </c>
      <c r="E1726" s="5" t="s">
        <v>77</v>
      </c>
      <c r="F1726" s="9">
        <v>32</v>
      </c>
      <c r="G1726" s="9">
        <v>357</v>
      </c>
      <c r="H1726" s="5" t="s">
        <v>20</v>
      </c>
      <c r="I1726" s="5" t="s">
        <v>4415</v>
      </c>
      <c r="J1726" s="12" t="str">
        <f>HYPERLINK("https://www.boe.es/gazeta/dias/1804/04/20/pdfs/GMD-1804-32.pdf#page=11","Abrir facsímil")</f>
        <v>Abrir facsímil</v>
      </c>
      <c r="K1726" s="15" t="s">
        <v>22</v>
      </c>
    </row>
    <row r="1727" spans="1:11" ht="42" customHeight="1">
      <c r="A1727" s="4" t="s">
        <v>4416</v>
      </c>
      <c r="B1727" s="5" t="s">
        <v>4417</v>
      </c>
      <c r="C1727" s="5" t="s">
        <v>198</v>
      </c>
      <c r="D1727" s="5" t="s">
        <v>66</v>
      </c>
      <c r="E1727" s="5" t="s">
        <v>666</v>
      </c>
      <c r="F1727" s="9">
        <v>57</v>
      </c>
      <c r="G1727" s="9">
        <v>636</v>
      </c>
      <c r="H1727" s="5" t="s">
        <v>20</v>
      </c>
      <c r="I1727" s="5" t="s">
        <v>4418</v>
      </c>
      <c r="J1727" s="12" t="str">
        <f>HYPERLINK("https://www.boe.es/gazeta/dias/1804/07/17/pdfs/GMD-C-1804-57.pdf#page=2","Abrir facsímil")</f>
        <v>Abrir facsímil</v>
      </c>
      <c r="K1727" s="15" t="s">
        <v>22</v>
      </c>
    </row>
    <row r="1728" spans="1:11" ht="42" customHeight="1">
      <c r="A1728" s="4" t="s">
        <v>4419</v>
      </c>
      <c r="B1728" s="5" t="s">
        <v>4420</v>
      </c>
      <c r="C1728" s="5" t="s">
        <v>27</v>
      </c>
      <c r="D1728" s="5" t="s">
        <v>28</v>
      </c>
      <c r="E1728" s="5" t="s">
        <v>47</v>
      </c>
      <c r="F1728" s="9">
        <v>78</v>
      </c>
      <c r="G1728" s="9">
        <v>868</v>
      </c>
      <c r="H1728" s="5" t="s">
        <v>20</v>
      </c>
      <c r="I1728" s="5" t="s">
        <v>4421</v>
      </c>
      <c r="J1728" s="12" t="str">
        <f>HYPERLINK("https://www.boe.es/gazeta/dias/1804/09/28/pdfs/GMD-1804-78.pdf#page=6","Abrir facsímil")</f>
        <v>Abrir facsímil</v>
      </c>
      <c r="K1728" s="15" t="s">
        <v>22</v>
      </c>
    </row>
    <row r="1729" spans="1:11" ht="42" customHeight="1">
      <c r="A1729" s="4" t="s">
        <v>4422</v>
      </c>
      <c r="B1729" s="5" t="s">
        <v>4422</v>
      </c>
      <c r="C1729" s="5" t="s">
        <v>65</v>
      </c>
      <c r="D1729" s="5" t="s">
        <v>66</v>
      </c>
      <c r="E1729" s="5" t="s">
        <v>19</v>
      </c>
      <c r="F1729" s="9">
        <v>60</v>
      </c>
      <c r="G1729" s="9">
        <v>663</v>
      </c>
      <c r="H1729" s="5" t="s">
        <v>20</v>
      </c>
      <c r="I1729" s="5" t="s">
        <v>4423</v>
      </c>
      <c r="J1729" s="12" t="str">
        <f>HYPERLINK("https://www.boe.es/gazeta/dias/1804/07/27/pdfs/GMD-1804-60.pdf#page=5","Abrir facsímil")</f>
        <v>Abrir facsímil</v>
      </c>
      <c r="K1729" s="15" t="s">
        <v>22</v>
      </c>
    </row>
    <row r="1730" spans="1:11" ht="42" customHeight="1">
      <c r="A1730" s="4" t="s">
        <v>4422</v>
      </c>
      <c r="B1730" s="5" t="s">
        <v>4422</v>
      </c>
      <c r="C1730" s="5" t="s">
        <v>57</v>
      </c>
      <c r="D1730" s="5" t="s">
        <v>58</v>
      </c>
      <c r="E1730" s="5" t="s">
        <v>637</v>
      </c>
      <c r="F1730" s="9">
        <v>74</v>
      </c>
      <c r="G1730" s="9">
        <v>825</v>
      </c>
      <c r="H1730" s="5" t="s">
        <v>20</v>
      </c>
      <c r="I1730" s="5" t="s">
        <v>4424</v>
      </c>
      <c r="J1730" s="12" t="str">
        <f>HYPERLINK("https://www.boe.es/gazeta/dias/1804/09/14/pdfs/GMD-1804-74.pdf#page=3","Abrir facsímil")</f>
        <v>Abrir facsímil</v>
      </c>
      <c r="K1730" s="15" t="s">
        <v>22</v>
      </c>
    </row>
    <row r="1731" spans="1:11" ht="42" customHeight="1">
      <c r="A1731" s="4" t="s">
        <v>4425</v>
      </c>
      <c r="B1731" s="5" t="s">
        <v>4426</v>
      </c>
      <c r="C1731" s="5" t="s">
        <v>57</v>
      </c>
      <c r="D1731" s="5" t="s">
        <v>58</v>
      </c>
      <c r="E1731" s="5" t="s">
        <v>206</v>
      </c>
      <c r="F1731" s="9">
        <v>44</v>
      </c>
      <c r="G1731" s="9">
        <v>488</v>
      </c>
      <c r="H1731" s="5" t="s">
        <v>20</v>
      </c>
      <c r="I1731" s="5" t="s">
        <v>4427</v>
      </c>
      <c r="J1731" s="12" t="str">
        <f>HYPERLINK("https://www.boe.es/gazeta/dias/1804/06/01/pdfs/GMD-1804-44.pdf#page=6","Abrir facsímil")</f>
        <v>Abrir facsímil</v>
      </c>
      <c r="K1731" s="15" t="s">
        <v>22</v>
      </c>
    </row>
    <row r="1732" spans="1:11" ht="42" customHeight="1">
      <c r="A1732" s="4" t="s">
        <v>4425</v>
      </c>
      <c r="B1732" s="5" t="s">
        <v>4426</v>
      </c>
      <c r="C1732" s="5" t="s">
        <v>17</v>
      </c>
      <c r="D1732" s="5" t="s">
        <v>18</v>
      </c>
      <c r="E1732" s="5" t="s">
        <v>317</v>
      </c>
      <c r="F1732" s="9">
        <v>56</v>
      </c>
      <c r="G1732" s="9">
        <v>620</v>
      </c>
      <c r="H1732" s="5" t="s">
        <v>20</v>
      </c>
      <c r="I1732" s="5" t="s">
        <v>4428</v>
      </c>
      <c r="J1732" s="12" t="str">
        <f>HYPERLINK("https://www.boe.es/gazeta/dias/1804/07/13/pdfs/GMD-1804-56.pdf#page=6","Abrir facsímil")</f>
        <v>Abrir facsímil</v>
      </c>
      <c r="K1732" s="15" t="s">
        <v>22</v>
      </c>
    </row>
    <row r="1733" spans="1:11" ht="42" customHeight="1">
      <c r="A1733" s="4" t="s">
        <v>4425</v>
      </c>
      <c r="B1733" s="5" t="s">
        <v>4426</v>
      </c>
      <c r="C1733" s="5" t="s">
        <v>17</v>
      </c>
      <c r="D1733" s="5" t="s">
        <v>18</v>
      </c>
      <c r="E1733" s="5" t="s">
        <v>67</v>
      </c>
      <c r="F1733" s="9">
        <v>59</v>
      </c>
      <c r="G1733" s="9">
        <v>651</v>
      </c>
      <c r="H1733" s="5" t="s">
        <v>20</v>
      </c>
      <c r="I1733" s="5" t="s">
        <v>4429</v>
      </c>
      <c r="J1733" s="12" t="str">
        <f>HYPERLINK("https://www.boe.es/gazeta/dias/1804/07/24/pdfs/GMD-1804-59.pdf#page=5","Abrir facsímil")</f>
        <v>Abrir facsímil</v>
      </c>
      <c r="K1733" s="15" t="s">
        <v>22</v>
      </c>
    </row>
    <row r="1734" spans="1:11" ht="42" customHeight="1">
      <c r="A1734" s="4" t="s">
        <v>4425</v>
      </c>
      <c r="B1734" s="5" t="s">
        <v>4426</v>
      </c>
      <c r="C1734" s="5" t="s">
        <v>27</v>
      </c>
      <c r="D1734" s="5" t="s">
        <v>28</v>
      </c>
      <c r="E1734" s="5" t="s">
        <v>61</v>
      </c>
      <c r="F1734" s="9">
        <v>61</v>
      </c>
      <c r="G1734" s="9">
        <v>676</v>
      </c>
      <c r="H1734" s="5" t="s">
        <v>20</v>
      </c>
      <c r="I1734" s="5" t="s">
        <v>4430</v>
      </c>
      <c r="J1734" s="12" t="str">
        <f>HYPERLINK("https://www.boe.es/gazeta/dias/1804/07/31/pdfs/GMD-1804-61.pdf#page=6","Abrir facsímil")</f>
        <v>Abrir facsímil</v>
      </c>
      <c r="K1734" s="15" t="s">
        <v>22</v>
      </c>
    </row>
    <row r="1735" spans="1:11" ht="42" customHeight="1">
      <c r="A1735" s="4" t="s">
        <v>4431</v>
      </c>
      <c r="B1735" s="5" t="s">
        <v>4432</v>
      </c>
      <c r="C1735" s="5" t="s">
        <v>27</v>
      </c>
      <c r="D1735" s="5" t="s">
        <v>28</v>
      </c>
      <c r="E1735" s="5" t="s">
        <v>388</v>
      </c>
      <c r="F1735" s="9">
        <v>18</v>
      </c>
      <c r="G1735" s="9">
        <v>198</v>
      </c>
      <c r="H1735" s="5" t="s">
        <v>20</v>
      </c>
      <c r="I1735" s="5" t="s">
        <v>4433</v>
      </c>
      <c r="J1735" s="12" t="str">
        <f>HYPERLINK("https://www.boe.es/gazeta/dias/1804/03/02/pdfs/GMD-1804-18.pdf#page=10","Abrir facsímil")</f>
        <v>Abrir facsímil</v>
      </c>
      <c r="K1735" s="15" t="s">
        <v>22</v>
      </c>
    </row>
    <row r="1736" spans="1:11" ht="42" customHeight="1">
      <c r="A1736" s="4" t="s">
        <v>4434</v>
      </c>
      <c r="B1736" s="5" t="s">
        <v>4434</v>
      </c>
      <c r="C1736" s="5" t="s">
        <v>57</v>
      </c>
      <c r="D1736" s="5" t="s">
        <v>58</v>
      </c>
      <c r="E1736" s="5" t="s">
        <v>587</v>
      </c>
      <c r="F1736" s="9">
        <v>62</v>
      </c>
      <c r="G1736" s="9">
        <v>682</v>
      </c>
      <c r="H1736" s="5" t="s">
        <v>20</v>
      </c>
      <c r="I1736" s="5" t="s">
        <v>4435</v>
      </c>
      <c r="J1736" s="12" t="str">
        <f>HYPERLINK("https://www.boe.es/gazeta/dias/1804/08/03/pdfs/GMD-1804-62.pdf#page=4","Abrir facsímil")</f>
        <v>Abrir facsímil</v>
      </c>
      <c r="K1736" s="15" t="s">
        <v>22</v>
      </c>
    </row>
    <row r="1737" spans="1:11" ht="42" customHeight="1">
      <c r="A1737" s="4" t="s">
        <v>4436</v>
      </c>
      <c r="B1737" s="5" t="s">
        <v>4437</v>
      </c>
      <c r="C1737" s="5" t="s">
        <v>65</v>
      </c>
      <c r="D1737" s="5" t="s">
        <v>66</v>
      </c>
      <c r="E1737" s="5" t="s">
        <v>678</v>
      </c>
      <c r="F1737" s="9">
        <v>104</v>
      </c>
      <c r="G1737" s="9">
        <v>1162</v>
      </c>
      <c r="H1737" s="5" t="s">
        <v>20</v>
      </c>
      <c r="I1737" s="5" t="s">
        <v>4438</v>
      </c>
      <c r="J1737" s="12" t="str">
        <f>HYPERLINK("https://www.boe.es/gazeta/dias/1804/12/28/pdfs/GMD-1804-104.pdf#page=10","Abrir facsímil")</f>
        <v>Abrir facsímil</v>
      </c>
      <c r="K1737" s="15" t="s">
        <v>22</v>
      </c>
    </row>
    <row r="1738" spans="1:11" ht="42" customHeight="1">
      <c r="A1738" s="4" t="s">
        <v>4439</v>
      </c>
      <c r="B1738" s="5" t="s">
        <v>4440</v>
      </c>
      <c r="C1738" s="5" t="s">
        <v>17</v>
      </c>
      <c r="D1738" s="5" t="s">
        <v>18</v>
      </c>
      <c r="E1738" s="5" t="s">
        <v>71</v>
      </c>
      <c r="F1738" s="9">
        <v>99</v>
      </c>
      <c r="G1738" s="9">
        <v>1107</v>
      </c>
      <c r="H1738" s="5" t="s">
        <v>20</v>
      </c>
      <c r="I1738" s="5" t="s">
        <v>4441</v>
      </c>
      <c r="J1738" s="12" t="str">
        <f>HYPERLINK("https://www.boe.es/gazeta/dias/1804/12/11/pdfs/GMD-1804-99.pdf#page=7","Abrir facsímil")</f>
        <v>Abrir facsímil</v>
      </c>
      <c r="K1738" s="15" t="s">
        <v>22</v>
      </c>
    </row>
    <row r="1739" spans="1:11" ht="42" customHeight="1">
      <c r="A1739" s="4" t="s">
        <v>4442</v>
      </c>
      <c r="B1739" s="5" t="s">
        <v>4442</v>
      </c>
      <c r="C1739" s="5" t="s">
        <v>57</v>
      </c>
      <c r="D1739" s="5" t="s">
        <v>58</v>
      </c>
      <c r="E1739" s="5" t="s">
        <v>1095</v>
      </c>
      <c r="F1739" s="9">
        <v>73</v>
      </c>
      <c r="G1739" s="9">
        <v>813</v>
      </c>
      <c r="H1739" s="5" t="s">
        <v>20</v>
      </c>
      <c r="I1739" s="5" t="s">
        <v>4443</v>
      </c>
      <c r="J1739" s="12" t="str">
        <f>HYPERLINK("https://www.boe.es/gazeta/dias/1804/09/11/pdfs/GMD-1804-73.pdf#page=3","Abrir facsímil")</f>
        <v>Abrir facsímil</v>
      </c>
      <c r="K1739" s="15" t="s">
        <v>22</v>
      </c>
    </row>
    <row r="1740" spans="1:11" ht="42" customHeight="1">
      <c r="A1740" s="4" t="s">
        <v>4444</v>
      </c>
      <c r="B1740" s="5" t="s">
        <v>4444</v>
      </c>
      <c r="C1740" s="5" t="s">
        <v>57</v>
      </c>
      <c r="D1740" s="5" t="s">
        <v>58</v>
      </c>
      <c r="E1740" s="5" t="s">
        <v>378</v>
      </c>
      <c r="F1740" s="9">
        <v>65</v>
      </c>
      <c r="G1740" s="9">
        <v>729</v>
      </c>
      <c r="H1740" s="5" t="s">
        <v>20</v>
      </c>
      <c r="I1740" s="5" t="s">
        <v>4445</v>
      </c>
      <c r="J1740" s="12" t="str">
        <f>HYPERLINK("https://www.boe.es/gazeta/dias/1804/08/14/pdfs/GMD-1804-65.pdf#page=7","Abrir facsímil")</f>
        <v>Abrir facsímil</v>
      </c>
      <c r="K1740" s="15" t="s">
        <v>22</v>
      </c>
    </row>
    <row r="1741" spans="1:11" ht="42" customHeight="1">
      <c r="A1741" s="4" t="s">
        <v>4446</v>
      </c>
      <c r="B1741" s="5" t="s">
        <v>4447</v>
      </c>
      <c r="C1741" s="5" t="s">
        <v>27</v>
      </c>
      <c r="D1741" s="5" t="s">
        <v>28</v>
      </c>
      <c r="E1741" s="5" t="s">
        <v>490</v>
      </c>
      <c r="F1741" s="9">
        <v>100</v>
      </c>
      <c r="G1741" s="9">
        <v>1119</v>
      </c>
      <c r="H1741" s="5" t="s">
        <v>20</v>
      </c>
      <c r="I1741" s="5" t="s">
        <v>4448</v>
      </c>
      <c r="J1741" s="12" t="str">
        <f>HYPERLINK("https://www.boe.es/gazeta/dias/1804/12/14/pdfs/GMD-1804-100.pdf#page=11","Abrir facsímil")</f>
        <v>Abrir facsímil</v>
      </c>
      <c r="K1741" s="15" t="s">
        <v>22</v>
      </c>
    </row>
    <row r="1742" spans="1:11" ht="42" customHeight="1">
      <c r="A1742" s="4" t="s">
        <v>4449</v>
      </c>
      <c r="B1742" s="5" t="s">
        <v>4450</v>
      </c>
      <c r="C1742" s="5" t="s">
        <v>262</v>
      </c>
      <c r="D1742" s="5" t="s">
        <v>263</v>
      </c>
      <c r="E1742" s="5" t="s">
        <v>398</v>
      </c>
      <c r="F1742" s="9">
        <v>22</v>
      </c>
      <c r="G1742" s="9">
        <v>250</v>
      </c>
      <c r="H1742" s="5" t="s">
        <v>20</v>
      </c>
      <c r="I1742" s="5" t="s">
        <v>4451</v>
      </c>
      <c r="J1742" s="12" t="str">
        <f>HYPERLINK("https://www.boe.es/gazeta/dias/1804/03/16/pdfs/GMD-C-1804-22.pdf#page=2","Abrir facsímil")</f>
        <v>Abrir facsímil</v>
      </c>
      <c r="K1742" s="15" t="s">
        <v>22</v>
      </c>
    </row>
    <row r="1743" spans="1:11" ht="42" customHeight="1">
      <c r="A1743" s="4" t="s">
        <v>4449</v>
      </c>
      <c r="B1743" s="5" t="s">
        <v>4450</v>
      </c>
      <c r="C1743" s="5" t="s">
        <v>262</v>
      </c>
      <c r="D1743" s="5" t="s">
        <v>263</v>
      </c>
      <c r="E1743" s="5" t="s">
        <v>666</v>
      </c>
      <c r="F1743" s="9">
        <v>57</v>
      </c>
      <c r="G1743" s="9">
        <v>636</v>
      </c>
      <c r="H1743" s="5" t="s">
        <v>20</v>
      </c>
      <c r="I1743" s="5" t="s">
        <v>4452</v>
      </c>
      <c r="J1743" s="12" t="str">
        <f>HYPERLINK("https://www.boe.es/gazeta/dias/1804/07/17/pdfs/GMD-C-1804-57.pdf#page=2","Abrir facsímil")</f>
        <v>Abrir facsímil</v>
      </c>
      <c r="K1743" s="15" t="s">
        <v>22</v>
      </c>
    </row>
    <row r="1744" spans="1:11" ht="42" customHeight="1">
      <c r="A1744" s="4" t="s">
        <v>4449</v>
      </c>
      <c r="B1744" s="5" t="s">
        <v>4450</v>
      </c>
      <c r="C1744" s="5" t="s">
        <v>17</v>
      </c>
      <c r="D1744" s="5" t="s">
        <v>18</v>
      </c>
      <c r="E1744" s="5" t="s">
        <v>155</v>
      </c>
      <c r="F1744" s="9">
        <v>92</v>
      </c>
      <c r="G1744" s="9">
        <v>1022</v>
      </c>
      <c r="H1744" s="5" t="s">
        <v>20</v>
      </c>
      <c r="I1744" s="5" t="s">
        <v>4453</v>
      </c>
      <c r="J1744" s="12" t="str">
        <f>HYPERLINK("https://www.boe.es/gazeta/dias/1804/11/16/pdfs/GMD-1804-92.pdf#page=10","Abrir facsímil")</f>
        <v>Abrir facsímil</v>
      </c>
      <c r="K1744" s="15" t="s">
        <v>22</v>
      </c>
    </row>
    <row r="1745" spans="1:11" ht="42" customHeight="1">
      <c r="A1745" s="4" t="s">
        <v>4454</v>
      </c>
      <c r="B1745" s="5" t="s">
        <v>4454</v>
      </c>
      <c r="C1745" s="5" t="s">
        <v>27</v>
      </c>
      <c r="D1745" s="5" t="s">
        <v>28</v>
      </c>
      <c r="E1745" s="5" t="s">
        <v>81</v>
      </c>
      <c r="F1745" s="9">
        <v>98</v>
      </c>
      <c r="G1745" s="9">
        <v>1089</v>
      </c>
      <c r="H1745" s="5" t="s">
        <v>20</v>
      </c>
      <c r="I1745" s="5" t="s">
        <v>4455</v>
      </c>
      <c r="J1745" s="12" t="str">
        <f>HYPERLINK("https://www.boe.es/gazeta/dias/1804/12/07/pdfs/GMD-1804-98.pdf#page=5","Abrir facsímil")</f>
        <v>Abrir facsímil</v>
      </c>
      <c r="K1745" s="15" t="s">
        <v>22</v>
      </c>
    </row>
    <row r="1746" spans="1:11" ht="42" customHeight="1">
      <c r="A1746" s="4" t="s">
        <v>4456</v>
      </c>
      <c r="B1746" s="5" t="s">
        <v>4456</v>
      </c>
      <c r="C1746" s="5" t="s">
        <v>27</v>
      </c>
      <c r="D1746" s="5" t="s">
        <v>28</v>
      </c>
      <c r="E1746" s="5" t="s">
        <v>245</v>
      </c>
      <c r="F1746" s="9">
        <v>6</v>
      </c>
      <c r="G1746" s="9">
        <v>58</v>
      </c>
      <c r="H1746" s="5" t="s">
        <v>20</v>
      </c>
      <c r="I1746" s="5" t="s">
        <v>4457</v>
      </c>
      <c r="J1746" s="12" t="str">
        <f>HYPERLINK("https://www.boe.es/gazeta/dias/1804/01/20/pdfs/GMD-1804-6.pdf#page=10","Abrir facsímil")</f>
        <v>Abrir facsímil</v>
      </c>
      <c r="K1746" s="15" t="s">
        <v>22</v>
      </c>
    </row>
    <row r="1747" spans="1:11" ht="42" customHeight="1">
      <c r="A1747" s="4" t="s">
        <v>4458</v>
      </c>
      <c r="B1747" s="5" t="s">
        <v>4458</v>
      </c>
      <c r="C1747" s="5" t="s">
        <v>85</v>
      </c>
      <c r="D1747" s="5" t="s">
        <v>86</v>
      </c>
      <c r="E1747" s="5" t="s">
        <v>191</v>
      </c>
      <c r="F1747" s="9">
        <v>101</v>
      </c>
      <c r="G1747" s="9">
        <v>1131</v>
      </c>
      <c r="H1747" s="5" t="s">
        <v>20</v>
      </c>
      <c r="I1747" s="5" t="s">
        <v>4459</v>
      </c>
      <c r="J1747" s="12" t="str">
        <f>HYPERLINK("https://www.boe.es/gazeta/dias/1804/12/18/pdfs/GMD-1804-101.pdf#page=11","Abrir facsímil")</f>
        <v>Abrir facsímil</v>
      </c>
      <c r="K1747" s="15" t="s">
        <v>22</v>
      </c>
    </row>
    <row r="1748" spans="1:11" ht="42" customHeight="1">
      <c r="A1748" s="4" t="s">
        <v>4460</v>
      </c>
      <c r="B1748" s="5" t="s">
        <v>4460</v>
      </c>
      <c r="C1748" s="5" t="s">
        <v>17</v>
      </c>
      <c r="D1748" s="5" t="s">
        <v>18</v>
      </c>
      <c r="E1748" s="5" t="s">
        <v>216</v>
      </c>
      <c r="F1748" s="9">
        <v>67</v>
      </c>
      <c r="G1748" s="9">
        <v>748</v>
      </c>
      <c r="H1748" s="5" t="s">
        <v>20</v>
      </c>
      <c r="I1748" s="5" t="s">
        <v>4461</v>
      </c>
      <c r="J1748" s="12" t="str">
        <f>HYPERLINK("https://www.boe.es/gazeta/dias/1804/08/21/pdfs/GMD-1804-67.pdf#page=6","Abrir facsímil")</f>
        <v>Abrir facsímil</v>
      </c>
      <c r="K1748" s="15" t="s">
        <v>22</v>
      </c>
    </row>
    <row r="1749" spans="1:11" ht="42" customHeight="1">
      <c r="A1749" s="4" t="s">
        <v>4462</v>
      </c>
      <c r="B1749" s="5" t="s">
        <v>4462</v>
      </c>
      <c r="C1749" s="5" t="s">
        <v>198</v>
      </c>
      <c r="D1749" s="5" t="s">
        <v>66</v>
      </c>
      <c r="E1749" s="5" t="s">
        <v>37</v>
      </c>
      <c r="F1749" s="9">
        <v>29</v>
      </c>
      <c r="G1749" s="9">
        <v>320</v>
      </c>
      <c r="H1749" s="5" t="s">
        <v>20</v>
      </c>
      <c r="I1749" s="5" t="s">
        <v>4463</v>
      </c>
      <c r="J1749" s="12" t="str">
        <f>HYPERLINK("https://www.boe.es/gazeta/dias/1804/04/10/pdfs/GMD-1804-29.pdf#page=10","Abrir facsímil")</f>
        <v>Abrir facsímil</v>
      </c>
      <c r="K1749" s="15" t="s">
        <v>22</v>
      </c>
    </row>
    <row r="1750" spans="1:11" ht="42" customHeight="1">
      <c r="A1750" s="4" t="s">
        <v>4464</v>
      </c>
      <c r="B1750" s="5" t="s">
        <v>4464</v>
      </c>
      <c r="C1750" s="5" t="s">
        <v>27</v>
      </c>
      <c r="D1750" s="5" t="s">
        <v>28</v>
      </c>
      <c r="E1750" s="5" t="s">
        <v>670</v>
      </c>
      <c r="F1750" s="9">
        <v>41</v>
      </c>
      <c r="G1750" s="9">
        <v>457</v>
      </c>
      <c r="H1750" s="5" t="s">
        <v>20</v>
      </c>
      <c r="I1750" s="5" t="s">
        <v>4465</v>
      </c>
      <c r="J1750" s="12" t="str">
        <f>HYPERLINK("https://www.boe.es/gazeta/dias/1804/05/22/pdfs/GMD-1804-41.pdf#page=7","Abrir facsímil")</f>
        <v>Abrir facsímil</v>
      </c>
      <c r="K1750" s="15" t="s">
        <v>22</v>
      </c>
    </row>
    <row r="1751" spans="1:11" ht="42" customHeight="1">
      <c r="A1751" s="4" t="s">
        <v>4466</v>
      </c>
      <c r="B1751" s="5" t="s">
        <v>4466</v>
      </c>
      <c r="C1751" s="5" t="s">
        <v>27</v>
      </c>
      <c r="D1751" s="5" t="s">
        <v>28</v>
      </c>
      <c r="E1751" s="5" t="s">
        <v>308</v>
      </c>
      <c r="F1751" s="9">
        <v>96</v>
      </c>
      <c r="G1751" s="9">
        <v>1067</v>
      </c>
      <c r="H1751" s="5" t="s">
        <v>20</v>
      </c>
      <c r="I1751" s="5" t="s">
        <v>4467</v>
      </c>
      <c r="J1751" s="12" t="str">
        <f>HYPERLINK("https://www.boe.es/gazeta/dias/1804/11/30/pdfs/GMD-1804-96.pdf#page=7","Abrir facsímil")</f>
        <v>Abrir facsímil</v>
      </c>
      <c r="K1751" s="15" t="s">
        <v>22</v>
      </c>
    </row>
    <row r="1752" spans="1:11" ht="42" customHeight="1">
      <c r="A1752" s="4" t="s">
        <v>4468</v>
      </c>
      <c r="B1752" s="5" t="s">
        <v>4468</v>
      </c>
      <c r="C1752" s="5" t="s">
        <v>17</v>
      </c>
      <c r="D1752" s="5" t="s">
        <v>18</v>
      </c>
      <c r="E1752" s="5" t="s">
        <v>29</v>
      </c>
      <c r="F1752" s="9">
        <v>88</v>
      </c>
      <c r="G1752" s="9">
        <v>973</v>
      </c>
      <c r="H1752" s="5" t="s">
        <v>20</v>
      </c>
      <c r="I1752" s="5" t="s">
        <v>4469</v>
      </c>
      <c r="J1752" s="12" t="str">
        <f>HYPERLINK("https://www.boe.es/gazeta/dias/1804/11/02/pdfs/GMD-1804-88.pdf#page=5","Abrir facsímil")</f>
        <v>Abrir facsímil</v>
      </c>
      <c r="K1752" s="15" t="s">
        <v>22</v>
      </c>
    </row>
    <row r="1753" spans="1:11" ht="42" customHeight="1">
      <c r="A1753" s="4" t="s">
        <v>4470</v>
      </c>
      <c r="B1753" s="5" t="s">
        <v>4471</v>
      </c>
      <c r="C1753" s="5" t="s">
        <v>27</v>
      </c>
      <c r="D1753" s="5" t="s">
        <v>28</v>
      </c>
      <c r="E1753" s="5" t="s">
        <v>61</v>
      </c>
      <c r="F1753" s="9">
        <v>61</v>
      </c>
      <c r="G1753" s="9">
        <v>676</v>
      </c>
      <c r="H1753" s="5" t="s">
        <v>20</v>
      </c>
      <c r="I1753" s="5" t="s">
        <v>4472</v>
      </c>
      <c r="J1753" s="12" t="str">
        <f>HYPERLINK("https://www.boe.es/gazeta/dias/1804/07/31/pdfs/GMD-1804-61.pdf#page=6","Abrir facsímil")</f>
        <v>Abrir facsímil</v>
      </c>
      <c r="K1753" s="15" t="s">
        <v>22</v>
      </c>
    </row>
    <row r="1754" spans="1:11" ht="42" customHeight="1">
      <c r="A1754" s="4" t="s">
        <v>4473</v>
      </c>
      <c r="B1754" s="5" t="s">
        <v>4473</v>
      </c>
      <c r="C1754" s="5" t="s">
        <v>57</v>
      </c>
      <c r="D1754" s="5" t="s">
        <v>58</v>
      </c>
      <c r="E1754" s="5" t="s">
        <v>75</v>
      </c>
      <c r="F1754" s="9">
        <v>16</v>
      </c>
      <c r="G1754" s="9">
        <v>169</v>
      </c>
      <c r="H1754" s="5" t="s">
        <v>20</v>
      </c>
      <c r="I1754" s="5" t="s">
        <v>4474</v>
      </c>
      <c r="J1754" s="12" t="str">
        <f>HYPERLINK("https://www.boe.es/gazeta/dias/1804/02/24/pdfs/GMD-1804-16.pdf#page=5","Abrir facsímil")</f>
        <v>Abrir facsímil</v>
      </c>
      <c r="K1754" s="15" t="s">
        <v>22</v>
      </c>
    </row>
    <row r="1755" spans="1:11" ht="42" customHeight="1">
      <c r="A1755" s="4" t="s">
        <v>4475</v>
      </c>
      <c r="B1755" s="5" t="s">
        <v>4476</v>
      </c>
      <c r="C1755" s="5" t="s">
        <v>85</v>
      </c>
      <c r="D1755" s="5" t="s">
        <v>86</v>
      </c>
      <c r="E1755" s="5" t="s">
        <v>453</v>
      </c>
      <c r="F1755" s="9">
        <v>33</v>
      </c>
      <c r="G1755" s="9">
        <v>369</v>
      </c>
      <c r="H1755" s="5" t="s">
        <v>20</v>
      </c>
      <c r="I1755" s="5" t="s">
        <v>4477</v>
      </c>
      <c r="J1755" s="12" t="str">
        <f>HYPERLINK("https://www.boe.es/gazeta/dias/1804/04/24/pdfs/GMD-1804-33.pdf#page=11","Abrir facsímil")</f>
        <v>Abrir facsímil</v>
      </c>
      <c r="K1755" s="15" t="s">
        <v>22</v>
      </c>
    </row>
    <row r="1756" spans="1:11" ht="42" customHeight="1">
      <c r="A1756" s="4" t="s">
        <v>4478</v>
      </c>
      <c r="B1756" s="5" t="s">
        <v>4479</v>
      </c>
      <c r="C1756" s="5" t="s">
        <v>17</v>
      </c>
      <c r="D1756" s="5" t="s">
        <v>18</v>
      </c>
      <c r="E1756" s="5" t="s">
        <v>587</v>
      </c>
      <c r="F1756" s="9">
        <v>62</v>
      </c>
      <c r="G1756" s="9">
        <v>689</v>
      </c>
      <c r="H1756" s="5" t="s">
        <v>20</v>
      </c>
      <c r="I1756" s="5" t="s">
        <v>4480</v>
      </c>
      <c r="J1756" s="12" t="str">
        <f>HYPERLINK("https://www.boe.es/gazeta/dias/1804/08/03/pdfs/GMD-1804-62.pdf#page=11","Abrir facsímil")</f>
        <v>Abrir facsímil</v>
      </c>
      <c r="K1756" s="15" t="s">
        <v>22</v>
      </c>
    </row>
    <row r="1757" spans="1:11" ht="42" customHeight="1">
      <c r="A1757" s="4" t="s">
        <v>4481</v>
      </c>
      <c r="B1757" s="5" t="s">
        <v>4481</v>
      </c>
      <c r="C1757" s="5" t="s">
        <v>85</v>
      </c>
      <c r="D1757" s="5" t="s">
        <v>86</v>
      </c>
      <c r="E1757" s="5" t="s">
        <v>709</v>
      </c>
      <c r="F1757" s="9">
        <v>82</v>
      </c>
      <c r="G1757" s="9">
        <v>910</v>
      </c>
      <c r="H1757" s="5" t="s">
        <v>20</v>
      </c>
      <c r="I1757" s="5" t="s">
        <v>4482</v>
      </c>
      <c r="J1757" s="12" t="str">
        <f>HYPERLINK("https://www.boe.es/gazeta/dias/1804/10/12/pdfs/GMD-1804-82.pdf#page=12","Abrir facsímil")</f>
        <v>Abrir facsímil</v>
      </c>
      <c r="K1757" s="15" t="s">
        <v>22</v>
      </c>
    </row>
    <row r="1758" spans="1:11" ht="42" customHeight="1">
      <c r="A1758" s="4" t="s">
        <v>4483</v>
      </c>
      <c r="B1758" s="5" t="s">
        <v>4483</v>
      </c>
      <c r="C1758" s="5" t="s">
        <v>57</v>
      </c>
      <c r="D1758" s="5" t="s">
        <v>58</v>
      </c>
      <c r="E1758" s="5" t="s">
        <v>191</v>
      </c>
      <c r="F1758" s="9">
        <v>101</v>
      </c>
      <c r="G1758" s="9">
        <v>1123</v>
      </c>
      <c r="H1758" s="5" t="s">
        <v>20</v>
      </c>
      <c r="I1758" s="5" t="s">
        <v>4484</v>
      </c>
      <c r="J1758" s="12" t="str">
        <f>HYPERLINK("https://www.boe.es/gazeta/dias/1804/12/18/pdfs/GMD-1804-101.pdf#page=3","Abrir facsímil")</f>
        <v>Abrir facsímil</v>
      </c>
      <c r="K1758" s="15" t="s">
        <v>22</v>
      </c>
    </row>
    <row r="1759" spans="1:11" ht="42" customHeight="1">
      <c r="A1759" s="4" t="s">
        <v>4485</v>
      </c>
      <c r="B1759" s="5" t="s">
        <v>4485</v>
      </c>
      <c r="C1759" s="5" t="s">
        <v>57</v>
      </c>
      <c r="D1759" s="5" t="s">
        <v>58</v>
      </c>
      <c r="E1759" s="5" t="s">
        <v>140</v>
      </c>
      <c r="F1759" s="9">
        <v>39</v>
      </c>
      <c r="G1759" s="9">
        <v>429</v>
      </c>
      <c r="H1759" s="5" t="s">
        <v>20</v>
      </c>
      <c r="I1759" s="5" t="s">
        <v>4486</v>
      </c>
      <c r="J1759" s="12" t="str">
        <f>HYPERLINK("https://www.boe.es/gazeta/dias/1804/05/15/pdfs/GMD-1804-39.pdf#page=3","Abrir facsímil")</f>
        <v>Abrir facsímil</v>
      </c>
      <c r="K1759" s="15" t="s">
        <v>22</v>
      </c>
    </row>
    <row r="1760" spans="1:11" ht="42" customHeight="1">
      <c r="A1760" s="4" t="s">
        <v>4487</v>
      </c>
      <c r="B1760" s="5" t="s">
        <v>4487</v>
      </c>
      <c r="C1760" s="5" t="s">
        <v>57</v>
      </c>
      <c r="D1760" s="5" t="s">
        <v>58</v>
      </c>
      <c r="E1760" s="5" t="s">
        <v>587</v>
      </c>
      <c r="F1760" s="9">
        <v>62</v>
      </c>
      <c r="G1760" s="9">
        <v>684</v>
      </c>
      <c r="H1760" s="5" t="s">
        <v>20</v>
      </c>
      <c r="I1760" s="5" t="s">
        <v>4488</v>
      </c>
      <c r="J1760" s="12" t="str">
        <f>HYPERLINK("https://www.boe.es/gazeta/dias/1804/08/03/pdfs/GMD-1804-62.pdf#page=6","Abrir facsímil")</f>
        <v>Abrir facsímil</v>
      </c>
      <c r="K1760" s="15" t="s">
        <v>22</v>
      </c>
    </row>
    <row r="1761" spans="1:11" ht="42" customHeight="1">
      <c r="A1761" s="4" t="s">
        <v>4489</v>
      </c>
      <c r="B1761" s="5" t="s">
        <v>4489</v>
      </c>
      <c r="C1761" s="5" t="s">
        <v>57</v>
      </c>
      <c r="D1761" s="5" t="s">
        <v>58</v>
      </c>
      <c r="E1761" s="5" t="s">
        <v>178</v>
      </c>
      <c r="F1761" s="9">
        <v>20</v>
      </c>
      <c r="G1761" s="9">
        <v>213</v>
      </c>
      <c r="H1761" s="5" t="s">
        <v>20</v>
      </c>
      <c r="I1761" s="5" t="s">
        <v>4490</v>
      </c>
      <c r="J1761" s="12" t="str">
        <f>HYPERLINK("https://www.boe.es/gazeta/dias/1804/03/09/pdfs/GMD-1804-20.pdf#page=1","Abrir facsímil")</f>
        <v>Abrir facsímil</v>
      </c>
      <c r="K1761" s="15" t="s">
        <v>22</v>
      </c>
    </row>
    <row r="1762" spans="1:11" ht="42" customHeight="1">
      <c r="A1762" s="4" t="s">
        <v>4491</v>
      </c>
      <c r="B1762" s="5" t="s">
        <v>4491</v>
      </c>
      <c r="C1762" s="5" t="s">
        <v>57</v>
      </c>
      <c r="D1762" s="5" t="s">
        <v>58</v>
      </c>
      <c r="E1762" s="5" t="s">
        <v>479</v>
      </c>
      <c r="F1762" s="9">
        <v>5</v>
      </c>
      <c r="G1762" s="9">
        <v>44</v>
      </c>
      <c r="H1762" s="5" t="s">
        <v>20</v>
      </c>
      <c r="I1762" s="5" t="s">
        <v>4492</v>
      </c>
      <c r="J1762" s="12" t="str">
        <f>HYPERLINK("https://www.boe.es/gazeta/dias/1804/01/17/pdfs/GMD-1804-5.pdf#page=4","Abrir facsímil")</f>
        <v>Abrir facsímil</v>
      </c>
      <c r="K1762" s="15" t="s">
        <v>22</v>
      </c>
    </row>
    <row r="1763" spans="1:11" ht="42" customHeight="1">
      <c r="A1763" s="4" t="s">
        <v>4493</v>
      </c>
      <c r="B1763" s="5" t="s">
        <v>4493</v>
      </c>
      <c r="C1763" s="5" t="s">
        <v>27</v>
      </c>
      <c r="D1763" s="5" t="s">
        <v>28</v>
      </c>
      <c r="E1763" s="5" t="s">
        <v>77</v>
      </c>
      <c r="F1763" s="9">
        <v>32</v>
      </c>
      <c r="G1763" s="9">
        <v>349</v>
      </c>
      <c r="H1763" s="5" t="s">
        <v>20</v>
      </c>
      <c r="I1763" s="5" t="s">
        <v>4494</v>
      </c>
      <c r="J1763" s="12" t="str">
        <f>HYPERLINK("https://www.boe.es/gazeta/dias/1804/04/20/pdfs/GMD-1804-32.pdf#page=3","Abrir facsímil")</f>
        <v>Abrir facsímil</v>
      </c>
      <c r="K1763" s="15" t="s">
        <v>22</v>
      </c>
    </row>
    <row r="1764" spans="1:11" ht="42" customHeight="1">
      <c r="A1764" s="4" t="s">
        <v>4495</v>
      </c>
      <c r="B1764" s="5" t="s">
        <v>4495</v>
      </c>
      <c r="C1764" s="5" t="s">
        <v>57</v>
      </c>
      <c r="D1764" s="5" t="s">
        <v>58</v>
      </c>
      <c r="E1764" s="5" t="s">
        <v>547</v>
      </c>
      <c r="F1764" s="9">
        <v>68</v>
      </c>
      <c r="G1764" s="9">
        <v>756</v>
      </c>
      <c r="H1764" s="5" t="s">
        <v>20</v>
      </c>
      <c r="I1764" s="5" t="s">
        <v>4496</v>
      </c>
      <c r="J1764" s="12" t="str">
        <f>HYPERLINK("https://www.boe.es/gazeta/dias/1804/08/24/pdfs/GMD-1804-68.pdf#page=2","Abrir facsímil")</f>
        <v>Abrir facsímil</v>
      </c>
      <c r="K1764" s="15" t="s">
        <v>22</v>
      </c>
    </row>
    <row r="1765" spans="1:11" ht="42" customHeight="1">
      <c r="A1765" s="4" t="s">
        <v>4497</v>
      </c>
      <c r="B1765" s="5" t="s">
        <v>4497</v>
      </c>
      <c r="C1765" s="5" t="s">
        <v>27</v>
      </c>
      <c r="D1765" s="5" t="s">
        <v>28</v>
      </c>
      <c r="E1765" s="5" t="s">
        <v>576</v>
      </c>
      <c r="F1765" s="9">
        <v>85</v>
      </c>
      <c r="G1765" s="9">
        <v>936</v>
      </c>
      <c r="H1765" s="5" t="s">
        <v>20</v>
      </c>
      <c r="I1765" s="5" t="s">
        <v>4498</v>
      </c>
      <c r="J1765" s="12" t="str">
        <f>HYPERLINK("https://www.boe.es/gazeta/dias/1804/10/23/pdfs/GMD-1804-85.pdf#page=6","Abrir facsímil")</f>
        <v>Abrir facsímil</v>
      </c>
      <c r="K1765" s="15" t="s">
        <v>22</v>
      </c>
    </row>
    <row r="1766" spans="1:11" ht="42" customHeight="1">
      <c r="A1766" s="4" t="s">
        <v>4499</v>
      </c>
      <c r="B1766" s="5" t="s">
        <v>4499</v>
      </c>
      <c r="C1766" s="5" t="s">
        <v>57</v>
      </c>
      <c r="D1766" s="5" t="s">
        <v>58</v>
      </c>
      <c r="E1766" s="5" t="s">
        <v>50</v>
      </c>
      <c r="F1766" s="9">
        <v>93</v>
      </c>
      <c r="G1766" s="9">
        <v>1025</v>
      </c>
      <c r="H1766" s="5" t="s">
        <v>20</v>
      </c>
      <c r="I1766" s="5" t="s">
        <v>4500</v>
      </c>
      <c r="J1766" s="12" t="str">
        <f>HYPERLINK("https://www.boe.es/gazeta/dias/1804/11/20/pdfs/GMD-1804-93.pdf#page=1","Abrir facsímil")</f>
        <v>Abrir facsímil</v>
      </c>
      <c r="K1766" s="15" t="s">
        <v>22</v>
      </c>
    </row>
    <row r="1767" spans="1:11" ht="42" customHeight="1">
      <c r="A1767" s="4" t="s">
        <v>4501</v>
      </c>
      <c r="B1767" s="5" t="s">
        <v>4501</v>
      </c>
      <c r="C1767" s="5" t="s">
        <v>57</v>
      </c>
      <c r="D1767" s="5" t="s">
        <v>58</v>
      </c>
      <c r="E1767" s="5" t="s">
        <v>350</v>
      </c>
      <c r="F1767" s="9">
        <v>19</v>
      </c>
      <c r="G1767" s="9">
        <v>203</v>
      </c>
      <c r="H1767" s="5" t="s">
        <v>20</v>
      </c>
      <c r="I1767" s="5" t="s">
        <v>4502</v>
      </c>
      <c r="J1767" s="12" t="str">
        <f>HYPERLINK("https://www.boe.es/gazeta/dias/1804/03/06/pdfs/GMD-1804-19.pdf#page=3","Abrir facsímil")</f>
        <v>Abrir facsímil</v>
      </c>
      <c r="K1767" s="15" t="s">
        <v>22</v>
      </c>
    </row>
    <row r="1768" spans="1:11" ht="42" customHeight="1">
      <c r="A1768" s="4" t="s">
        <v>4501</v>
      </c>
      <c r="B1768" s="5" t="s">
        <v>4501</v>
      </c>
      <c r="C1768" s="5" t="s">
        <v>85</v>
      </c>
      <c r="D1768" s="5" t="s">
        <v>86</v>
      </c>
      <c r="E1768" s="5" t="s">
        <v>140</v>
      </c>
      <c r="F1768" s="9">
        <v>39</v>
      </c>
      <c r="G1768" s="9">
        <v>430</v>
      </c>
      <c r="H1768" s="5" t="s">
        <v>20</v>
      </c>
      <c r="I1768" s="5" t="s">
        <v>4503</v>
      </c>
      <c r="J1768" s="12" t="str">
        <f>HYPERLINK("https://www.boe.es/gazeta/dias/1804/05/15/pdfs/GMD-1804-39.pdf#page=4","Abrir facsímil")</f>
        <v>Abrir facsímil</v>
      </c>
      <c r="K1768" s="15" t="s">
        <v>22</v>
      </c>
    </row>
    <row r="1769" spans="1:11" ht="42" customHeight="1">
      <c r="A1769" s="4" t="s">
        <v>4501</v>
      </c>
      <c r="B1769" s="5" t="s">
        <v>4501</v>
      </c>
      <c r="C1769" s="5" t="s">
        <v>27</v>
      </c>
      <c r="D1769" s="5" t="s">
        <v>28</v>
      </c>
      <c r="E1769" s="5" t="s">
        <v>143</v>
      </c>
      <c r="F1769" s="9">
        <v>87</v>
      </c>
      <c r="G1769" s="9">
        <v>959</v>
      </c>
      <c r="H1769" s="5" t="s">
        <v>20</v>
      </c>
      <c r="I1769" s="5" t="s">
        <v>4504</v>
      </c>
      <c r="J1769" s="12" t="str">
        <f>HYPERLINK("https://www.boe.es/gazeta/dias/1804/10/30/pdfs/GMD-1804-87.pdf#page=3","Abrir facsímil")</f>
        <v>Abrir facsímil</v>
      </c>
      <c r="K1769" s="15" t="s">
        <v>22</v>
      </c>
    </row>
    <row r="1770" spans="1:11" ht="42" customHeight="1">
      <c r="A1770" s="4" t="s">
        <v>4505</v>
      </c>
      <c r="B1770" s="5" t="s">
        <v>4505</v>
      </c>
      <c r="C1770" s="5" t="s">
        <v>57</v>
      </c>
      <c r="D1770" s="5" t="s">
        <v>58</v>
      </c>
      <c r="E1770" s="5" t="s">
        <v>339</v>
      </c>
      <c r="F1770" s="9">
        <v>94</v>
      </c>
      <c r="G1770" s="9">
        <v>1034</v>
      </c>
      <c r="H1770" s="5" t="s">
        <v>20</v>
      </c>
      <c r="I1770" s="5" t="s">
        <v>4506</v>
      </c>
      <c r="J1770" s="12" t="str">
        <f>HYPERLINK("https://www.boe.es/gazeta/dias/1804/11/23/pdfs/GMD-1804-94.pdf#page=2","Abrir facsímil")</f>
        <v>Abrir facsímil</v>
      </c>
      <c r="K1770" s="15" t="s">
        <v>22</v>
      </c>
    </row>
    <row r="1771" spans="1:11" ht="42" customHeight="1">
      <c r="A1771" s="4" t="s">
        <v>4507</v>
      </c>
      <c r="B1771" s="5" t="s">
        <v>4507</v>
      </c>
      <c r="C1771" s="5" t="s">
        <v>27</v>
      </c>
      <c r="D1771" s="5" t="s">
        <v>28</v>
      </c>
      <c r="E1771" s="5" t="s">
        <v>33</v>
      </c>
      <c r="F1771" s="9">
        <v>48</v>
      </c>
      <c r="G1771" s="9">
        <v>531</v>
      </c>
      <c r="H1771" s="5" t="s">
        <v>20</v>
      </c>
      <c r="I1771" s="5" t="s">
        <v>4508</v>
      </c>
      <c r="J1771" s="12" t="str">
        <f>HYPERLINK("https://www.boe.es/gazeta/dias/1804/06/15/pdfs/GMD-1804-48.pdf#page=1","Abrir facsímil")</f>
        <v>Abrir facsímil</v>
      </c>
      <c r="K1771" s="15" t="s">
        <v>22</v>
      </c>
    </row>
    <row r="1772" spans="1:11" ht="42" customHeight="1">
      <c r="A1772" s="4" t="s">
        <v>4509</v>
      </c>
      <c r="B1772" s="5" t="s">
        <v>4509</v>
      </c>
      <c r="C1772" s="5" t="s">
        <v>57</v>
      </c>
      <c r="D1772" s="5" t="s">
        <v>58</v>
      </c>
      <c r="E1772" s="5" t="s">
        <v>226</v>
      </c>
      <c r="F1772" s="9">
        <v>17</v>
      </c>
      <c r="G1772" s="9">
        <v>181</v>
      </c>
      <c r="H1772" s="5" t="s">
        <v>20</v>
      </c>
      <c r="I1772" s="5" t="s">
        <v>4510</v>
      </c>
      <c r="J1772" s="12" t="str">
        <f>HYPERLINK("https://www.boe.es/gazeta/dias/1804/02/28/pdfs/GMD-1804-17.pdf#page=1","Abrir facsímil")</f>
        <v>Abrir facsímil</v>
      </c>
      <c r="K1772" s="15" t="s">
        <v>22</v>
      </c>
    </row>
    <row r="1773" spans="1:11" ht="42" customHeight="1">
      <c r="A1773" s="4" t="s">
        <v>4511</v>
      </c>
      <c r="B1773" s="5" t="s">
        <v>4511</v>
      </c>
      <c r="C1773" s="5" t="s">
        <v>27</v>
      </c>
      <c r="D1773" s="5" t="s">
        <v>28</v>
      </c>
      <c r="E1773" s="5" t="s">
        <v>136</v>
      </c>
      <c r="F1773" s="9">
        <v>23</v>
      </c>
      <c r="G1773" s="9">
        <v>257</v>
      </c>
      <c r="H1773" s="5" t="s">
        <v>20</v>
      </c>
      <c r="I1773" s="5" t="s">
        <v>4512</v>
      </c>
      <c r="J1773" s="12" t="str">
        <f>HYPERLINK("https://www.boe.es/gazeta/dias/1804/03/20/pdfs/GMD-1804-23.pdf#page=3","Abrir facsímil")</f>
        <v>Abrir facsímil</v>
      </c>
      <c r="K1773" s="15" t="s">
        <v>22</v>
      </c>
    </row>
    <row r="1774" spans="1:11" ht="42" customHeight="1">
      <c r="A1774" s="4" t="s">
        <v>4513</v>
      </c>
      <c r="B1774" s="5" t="s">
        <v>4513</v>
      </c>
      <c r="C1774" s="5" t="s">
        <v>57</v>
      </c>
      <c r="D1774" s="5" t="s">
        <v>58</v>
      </c>
      <c r="E1774" s="5" t="s">
        <v>251</v>
      </c>
      <c r="F1774" s="9">
        <v>79</v>
      </c>
      <c r="G1774" s="9">
        <v>873</v>
      </c>
      <c r="H1774" s="5" t="s">
        <v>20</v>
      </c>
      <c r="I1774" s="5" t="s">
        <v>4514</v>
      </c>
      <c r="J1774" s="12" t="str">
        <f>HYPERLINK("https://www.boe.es/gazeta/dias/1804/10/02/pdfs/GMD-1804-79.pdf#page=3","Abrir facsímil")</f>
        <v>Abrir facsímil</v>
      </c>
      <c r="K1774" s="15" t="s">
        <v>22</v>
      </c>
    </row>
    <row r="1775" spans="1:11" ht="42" customHeight="1">
      <c r="A1775" s="4" t="s">
        <v>4515</v>
      </c>
      <c r="B1775" s="5" t="s">
        <v>4515</v>
      </c>
      <c r="C1775" s="5" t="s">
        <v>27</v>
      </c>
      <c r="D1775" s="5" t="s">
        <v>28</v>
      </c>
      <c r="E1775" s="5" t="s">
        <v>103</v>
      </c>
      <c r="F1775" s="9">
        <v>11</v>
      </c>
      <c r="G1775" s="9">
        <v>113</v>
      </c>
      <c r="H1775" s="5" t="s">
        <v>20</v>
      </c>
      <c r="I1775" s="5" t="s">
        <v>4516</v>
      </c>
      <c r="J1775" s="12" t="str">
        <f>HYPERLINK("https://www.boe.es/gazeta/dias/1804/02/07/pdfs/GMD-1804-11.pdf#page=1","Abrir facsímil")</f>
        <v>Abrir facsímil</v>
      </c>
      <c r="K1775" s="15" t="s">
        <v>22</v>
      </c>
    </row>
    <row r="1776" spans="1:11" ht="42" customHeight="1">
      <c r="A1776" s="4" t="s">
        <v>4515</v>
      </c>
      <c r="B1776" s="5" t="s">
        <v>4515</v>
      </c>
      <c r="C1776" s="5" t="s">
        <v>57</v>
      </c>
      <c r="D1776" s="5" t="s">
        <v>58</v>
      </c>
      <c r="E1776" s="5" t="s">
        <v>542</v>
      </c>
      <c r="F1776" s="9">
        <v>54</v>
      </c>
      <c r="G1776" s="9">
        <v>597</v>
      </c>
      <c r="H1776" s="5" t="s">
        <v>20</v>
      </c>
      <c r="I1776" s="5" t="s">
        <v>4517</v>
      </c>
      <c r="J1776" s="12" t="str">
        <f>HYPERLINK("https://www.boe.es/gazeta/dias/1804/07/06/pdfs/GMD-1804-54.pdf#page=3","Abrir facsímil")</f>
        <v>Abrir facsímil</v>
      </c>
      <c r="K1776" s="15" t="s">
        <v>22</v>
      </c>
    </row>
    <row r="1777" spans="1:11" ht="42" customHeight="1">
      <c r="A1777" s="4" t="s">
        <v>4518</v>
      </c>
      <c r="B1777" s="5" t="s">
        <v>4519</v>
      </c>
      <c r="C1777" s="5" t="s">
        <v>17</v>
      </c>
      <c r="D1777" s="5" t="s">
        <v>18</v>
      </c>
      <c r="E1777" s="5" t="s">
        <v>71</v>
      </c>
      <c r="F1777" s="9">
        <v>99</v>
      </c>
      <c r="G1777" s="9">
        <v>1103</v>
      </c>
      <c r="H1777" s="5" t="s">
        <v>20</v>
      </c>
      <c r="I1777" s="5" t="s">
        <v>4520</v>
      </c>
      <c r="J1777" s="12" t="str">
        <f>HYPERLINK("https://www.boe.es/gazeta/dias/1804/12/11/pdfs/GMD-1804-99.pdf#page=3","Abrir facsímil")</f>
        <v>Abrir facsímil</v>
      </c>
      <c r="K1777" s="15" t="s">
        <v>22</v>
      </c>
    </row>
    <row r="1778" spans="1:11" ht="42" customHeight="1">
      <c r="A1778" s="4" t="s">
        <v>4521</v>
      </c>
      <c r="B1778" s="5" t="s">
        <v>4522</v>
      </c>
      <c r="C1778" s="5" t="s">
        <v>85</v>
      </c>
      <c r="D1778" s="5" t="s">
        <v>86</v>
      </c>
      <c r="E1778" s="5" t="s">
        <v>140</v>
      </c>
      <c r="F1778" s="9">
        <v>39</v>
      </c>
      <c r="G1778" s="9">
        <v>429</v>
      </c>
      <c r="H1778" s="5" t="s">
        <v>20</v>
      </c>
      <c r="I1778" s="5" t="s">
        <v>4523</v>
      </c>
      <c r="J1778" s="12" t="str">
        <f>HYPERLINK("https://www.boe.es/gazeta/dias/1804/05/15/pdfs/GMD-1804-39.pdf#page=3","Abrir facsímil")</f>
        <v>Abrir facsímil</v>
      </c>
      <c r="K1778" s="15" t="s">
        <v>22</v>
      </c>
    </row>
    <row r="1779" spans="1:11" ht="42" customHeight="1">
      <c r="A1779" s="4" t="s">
        <v>4521</v>
      </c>
      <c r="B1779" s="5" t="s">
        <v>4522</v>
      </c>
      <c r="C1779" s="5" t="s">
        <v>57</v>
      </c>
      <c r="D1779" s="5" t="s">
        <v>58</v>
      </c>
      <c r="E1779" s="5" t="s">
        <v>43</v>
      </c>
      <c r="F1779" s="9">
        <v>84</v>
      </c>
      <c r="G1779" s="9">
        <v>926</v>
      </c>
      <c r="H1779" s="5" t="s">
        <v>20</v>
      </c>
      <c r="I1779" s="5" t="s">
        <v>4524</v>
      </c>
      <c r="J1779" s="12" t="str">
        <f>HYPERLINK("https://www.boe.es/gazeta/dias/1804/10/19/pdfs/GMD-1804-84.pdf#page=4","Abrir facsímil")</f>
        <v>Abrir facsímil</v>
      </c>
      <c r="K1779" s="15" t="s">
        <v>22</v>
      </c>
    </row>
    <row r="1780" spans="1:11" ht="42" customHeight="1">
      <c r="A1780" s="4" t="s">
        <v>4525</v>
      </c>
      <c r="B1780" s="5" t="s">
        <v>4526</v>
      </c>
      <c r="C1780" s="5" t="s">
        <v>57</v>
      </c>
      <c r="D1780" s="5" t="s">
        <v>58</v>
      </c>
      <c r="E1780" s="5" t="s">
        <v>222</v>
      </c>
      <c r="F1780" s="9">
        <v>4</v>
      </c>
      <c r="G1780" s="9">
        <v>31</v>
      </c>
      <c r="H1780" s="5" t="s">
        <v>20</v>
      </c>
      <c r="I1780" s="5" t="s">
        <v>4527</v>
      </c>
      <c r="J1780" s="12" t="str">
        <f>HYPERLINK("https://www.boe.es/gazeta/dias/1804/01/13/pdfs/GMD-1804-4.pdf#page=3","Abrir facsímil")</f>
        <v>Abrir facsímil</v>
      </c>
      <c r="K1780" s="15" t="s">
        <v>22</v>
      </c>
    </row>
    <row r="1781" spans="1:11" ht="42" customHeight="1">
      <c r="A1781" s="4" t="s">
        <v>4528</v>
      </c>
      <c r="B1781" s="5" t="s">
        <v>4528</v>
      </c>
      <c r="C1781" s="5" t="s">
        <v>27</v>
      </c>
      <c r="D1781" s="5" t="s">
        <v>28</v>
      </c>
      <c r="E1781" s="5" t="s">
        <v>427</v>
      </c>
      <c r="F1781" s="9">
        <v>80</v>
      </c>
      <c r="G1781" s="9">
        <v>887</v>
      </c>
      <c r="H1781" s="5" t="s">
        <v>20</v>
      </c>
      <c r="I1781" s="5" t="s">
        <v>4529</v>
      </c>
      <c r="J1781" s="12" t="str">
        <f>HYPERLINK("https://www.boe.es/gazeta/dias/1804/10/05/pdfs/GMD-1804-80.pdf#page=5","Abrir facsímil")</f>
        <v>Abrir facsímil</v>
      </c>
      <c r="K1781" s="15" t="s">
        <v>22</v>
      </c>
    </row>
    <row r="1782" spans="1:11" ht="42" customHeight="1">
      <c r="A1782" s="4" t="s">
        <v>4530</v>
      </c>
      <c r="B1782" s="5" t="s">
        <v>4530</v>
      </c>
      <c r="C1782" s="5" t="s">
        <v>27</v>
      </c>
      <c r="D1782" s="5" t="s">
        <v>28</v>
      </c>
      <c r="E1782" s="5" t="s">
        <v>77</v>
      </c>
      <c r="F1782" s="9">
        <v>32</v>
      </c>
      <c r="G1782" s="9">
        <v>356</v>
      </c>
      <c r="H1782" s="5" t="s">
        <v>20</v>
      </c>
      <c r="I1782" s="5" t="s">
        <v>4531</v>
      </c>
      <c r="J1782" s="12" t="str">
        <f>HYPERLINK("https://www.boe.es/gazeta/dias/1804/04/20/pdfs/GMD-1804-32.pdf#page=10","Abrir facsímil")</f>
        <v>Abrir facsímil</v>
      </c>
      <c r="K1782" s="15" t="s">
        <v>22</v>
      </c>
    </row>
    <row r="1783" spans="1:11" ht="42" customHeight="1">
      <c r="A1783" s="4" t="s">
        <v>4532</v>
      </c>
      <c r="B1783" s="5" t="s">
        <v>4532</v>
      </c>
      <c r="C1783" s="5" t="s">
        <v>120</v>
      </c>
      <c r="D1783" s="5" t="s">
        <v>121</v>
      </c>
      <c r="E1783" s="5" t="s">
        <v>33</v>
      </c>
      <c r="F1783" s="9">
        <v>48</v>
      </c>
      <c r="G1783" s="9" t="s">
        <v>122</v>
      </c>
      <c r="H1783" s="5" t="s">
        <v>20</v>
      </c>
      <c r="I1783" s="5" t="s">
        <v>4533</v>
      </c>
      <c r="J1783" s="12" t="str">
        <f>HYPERLINK("https://www.boe.es/gazeta/dias/1804/06/15/pdfs/GMD-C-1804-48.pdf#page=3","Abrir facsímil")</f>
        <v>Abrir facsímil</v>
      </c>
      <c r="K1783" s="15" t="s">
        <v>22</v>
      </c>
    </row>
    <row r="1784" spans="1:11" ht="42" customHeight="1">
      <c r="A1784" s="4" t="s">
        <v>4534</v>
      </c>
      <c r="B1784" s="5" t="s">
        <v>4534</v>
      </c>
      <c r="C1784" s="5" t="s">
        <v>27</v>
      </c>
      <c r="D1784" s="5" t="s">
        <v>28</v>
      </c>
      <c r="E1784" s="5" t="s">
        <v>97</v>
      </c>
      <c r="F1784" s="9">
        <v>50</v>
      </c>
      <c r="G1784" s="9">
        <v>552</v>
      </c>
      <c r="H1784" s="5" t="s">
        <v>20</v>
      </c>
      <c r="I1784" s="5" t="s">
        <v>4535</v>
      </c>
      <c r="J1784" s="12" t="str">
        <f>HYPERLINK("https://www.boe.es/gazeta/dias/1804/06/22/pdfs/GMD-1804-50.pdf#page=6","Abrir facsímil")</f>
        <v>Abrir facsímil</v>
      </c>
      <c r="K1784" s="15" t="s">
        <v>22</v>
      </c>
    </row>
    <row r="1785" spans="1:11" ht="42" customHeight="1">
      <c r="A1785" s="4" t="s">
        <v>4536</v>
      </c>
      <c r="B1785" s="5" t="s">
        <v>4537</v>
      </c>
      <c r="C1785" s="5" t="s">
        <v>27</v>
      </c>
      <c r="D1785" s="5" t="s">
        <v>28</v>
      </c>
      <c r="E1785" s="5" t="s">
        <v>339</v>
      </c>
      <c r="F1785" s="9">
        <v>94</v>
      </c>
      <c r="G1785" s="9">
        <v>1037</v>
      </c>
      <c r="H1785" s="5" t="s">
        <v>20</v>
      </c>
      <c r="I1785" s="5" t="s">
        <v>4538</v>
      </c>
      <c r="J1785" s="12" t="str">
        <f>HYPERLINK("https://www.boe.es/gazeta/dias/1804/11/23/pdfs/GMD-1804-94.pdf#page=5","Abrir facsímil")</f>
        <v>Abrir facsímil</v>
      </c>
      <c r="K1785" s="15" t="s">
        <v>22</v>
      </c>
    </row>
    <row r="1786" spans="1:11" ht="42" customHeight="1">
      <c r="A1786" s="4" t="s">
        <v>4539</v>
      </c>
      <c r="B1786" s="5" t="s">
        <v>4540</v>
      </c>
      <c r="C1786" s="5" t="s">
        <v>65</v>
      </c>
      <c r="D1786" s="5" t="s">
        <v>66</v>
      </c>
      <c r="E1786" s="5" t="s">
        <v>43</v>
      </c>
      <c r="F1786" s="9">
        <v>84</v>
      </c>
      <c r="G1786" s="9">
        <v>927</v>
      </c>
      <c r="H1786" s="5" t="s">
        <v>20</v>
      </c>
      <c r="I1786" s="5" t="s">
        <v>4541</v>
      </c>
      <c r="J1786" s="12" t="str">
        <f>HYPERLINK("https://www.boe.es/gazeta/dias/1804/10/19/pdfs/GMD-1804-84.pdf#page=5","Abrir facsímil")</f>
        <v>Abrir facsímil</v>
      </c>
      <c r="K1786" s="15" t="s">
        <v>22</v>
      </c>
    </row>
    <row r="1787" spans="1:11" ht="42" customHeight="1">
      <c r="A1787" s="4" t="s">
        <v>4542</v>
      </c>
      <c r="B1787" s="5" t="s">
        <v>4542</v>
      </c>
      <c r="C1787" s="5" t="s">
        <v>57</v>
      </c>
      <c r="D1787" s="5" t="s">
        <v>58</v>
      </c>
      <c r="E1787" s="5" t="s">
        <v>298</v>
      </c>
      <c r="F1787" s="9">
        <v>10</v>
      </c>
      <c r="G1787" s="9">
        <v>102</v>
      </c>
      <c r="H1787" s="5" t="s">
        <v>20</v>
      </c>
      <c r="I1787" s="5" t="s">
        <v>4543</v>
      </c>
      <c r="J1787" s="12" t="str">
        <f>HYPERLINK("https://www.boe.es/gazeta/dias/1804/02/03/pdfs/GMD-1804-10.pdf#page=2","Abrir facsímil")</f>
        <v>Abrir facsímil</v>
      </c>
      <c r="K1787" s="15" t="s">
        <v>22</v>
      </c>
    </row>
    <row r="1788" spans="1:11" ht="42" customHeight="1">
      <c r="A1788" s="4" t="s">
        <v>4544</v>
      </c>
      <c r="B1788" s="5" t="s">
        <v>4545</v>
      </c>
      <c r="C1788" s="5" t="s">
        <v>120</v>
      </c>
      <c r="D1788" s="5" t="s">
        <v>121</v>
      </c>
      <c r="E1788" s="5" t="s">
        <v>33</v>
      </c>
      <c r="F1788" s="9">
        <v>48</v>
      </c>
      <c r="G1788" s="9" t="s">
        <v>819</v>
      </c>
      <c r="H1788" s="5" t="s">
        <v>20</v>
      </c>
      <c r="I1788" s="5" t="s">
        <v>4546</v>
      </c>
      <c r="J1788" s="12" t="str">
        <f>HYPERLINK("https://www.boe.es/gazeta/dias/1804/06/15/pdfs/GMD-C-1804-48.pdf#page=4","Abrir facsímil")</f>
        <v>Abrir facsímil</v>
      </c>
      <c r="K1788" s="15" t="s">
        <v>22</v>
      </c>
    </row>
    <row r="1789" spans="1:11" ht="42" customHeight="1">
      <c r="A1789" s="4" t="s">
        <v>4547</v>
      </c>
      <c r="B1789" s="5" t="s">
        <v>4548</v>
      </c>
      <c r="C1789" s="5" t="s">
        <v>120</v>
      </c>
      <c r="D1789" s="5" t="s">
        <v>121</v>
      </c>
      <c r="E1789" s="5" t="s">
        <v>33</v>
      </c>
      <c r="F1789" s="9">
        <v>48</v>
      </c>
      <c r="G1789" s="9" t="s">
        <v>122</v>
      </c>
      <c r="H1789" s="5" t="s">
        <v>20</v>
      </c>
      <c r="I1789" s="5" t="s">
        <v>4549</v>
      </c>
      <c r="J1789" s="12" t="str">
        <f>HYPERLINK("https://www.boe.es/gazeta/dias/1804/06/15/pdfs/GMD-C-1804-48.pdf#page=3","Abrir facsímil")</f>
        <v>Abrir facsímil</v>
      </c>
      <c r="K1789" s="15" t="s">
        <v>22</v>
      </c>
    </row>
    <row r="1790" spans="1:11" ht="42" customHeight="1">
      <c r="A1790" s="4" t="s">
        <v>4550</v>
      </c>
      <c r="B1790" s="5" t="s">
        <v>4551</v>
      </c>
      <c r="C1790" s="5" t="s">
        <v>262</v>
      </c>
      <c r="D1790" s="5" t="s">
        <v>263</v>
      </c>
      <c r="E1790" s="5" t="s">
        <v>666</v>
      </c>
      <c r="F1790" s="9">
        <v>57</v>
      </c>
      <c r="G1790" s="9">
        <v>636</v>
      </c>
      <c r="H1790" s="5" t="s">
        <v>20</v>
      </c>
      <c r="I1790" s="5" t="s">
        <v>4552</v>
      </c>
      <c r="J1790" s="12" t="str">
        <f>HYPERLINK("https://www.boe.es/gazeta/dias/1804/07/17/pdfs/GMD-C-1804-57.pdf#page=2","Abrir facsímil")</f>
        <v>Abrir facsímil</v>
      </c>
      <c r="K1790" s="15" t="s">
        <v>22</v>
      </c>
    </row>
    <row r="1791" spans="1:11" ht="42" customHeight="1">
      <c r="A1791" s="4" t="s">
        <v>4550</v>
      </c>
      <c r="B1791" s="5" t="s">
        <v>4551</v>
      </c>
      <c r="C1791" s="5" t="s">
        <v>17</v>
      </c>
      <c r="D1791" s="5" t="s">
        <v>18</v>
      </c>
      <c r="E1791" s="5" t="s">
        <v>155</v>
      </c>
      <c r="F1791" s="9">
        <v>92</v>
      </c>
      <c r="G1791" s="9">
        <v>1022</v>
      </c>
      <c r="H1791" s="5" t="s">
        <v>20</v>
      </c>
      <c r="I1791" s="5" t="s">
        <v>4553</v>
      </c>
      <c r="J1791" s="12" t="str">
        <f>HYPERLINK("https://www.boe.es/gazeta/dias/1804/11/16/pdfs/GMD-1804-92.pdf#page=10","Abrir facsímil")</f>
        <v>Abrir facsímil</v>
      </c>
      <c r="K1791" s="15" t="s">
        <v>22</v>
      </c>
    </row>
    <row r="1792" spans="1:11" ht="42" customHeight="1">
      <c r="A1792" s="4" t="s">
        <v>4554</v>
      </c>
      <c r="B1792" s="5" t="s">
        <v>4555</v>
      </c>
      <c r="C1792" s="5" t="s">
        <v>262</v>
      </c>
      <c r="D1792" s="5" t="s">
        <v>263</v>
      </c>
      <c r="E1792" s="5" t="s">
        <v>398</v>
      </c>
      <c r="F1792" s="9">
        <v>22</v>
      </c>
      <c r="G1792" s="9">
        <v>250</v>
      </c>
      <c r="H1792" s="5" t="s">
        <v>20</v>
      </c>
      <c r="I1792" s="5" t="s">
        <v>4556</v>
      </c>
      <c r="J1792" s="12" t="str">
        <f>HYPERLINK("https://www.boe.es/gazeta/dias/1804/03/16/pdfs/GMD-C-1804-22.pdf#page=2","Abrir facsímil")</f>
        <v>Abrir facsímil</v>
      </c>
      <c r="K1792" s="15" t="s">
        <v>22</v>
      </c>
    </row>
    <row r="1793" spans="1:11" ht="42" customHeight="1">
      <c r="A1793" s="4" t="s">
        <v>4557</v>
      </c>
      <c r="B1793" s="5" t="s">
        <v>4557</v>
      </c>
      <c r="C1793" s="5" t="s">
        <v>27</v>
      </c>
      <c r="D1793" s="5" t="s">
        <v>28</v>
      </c>
      <c r="E1793" s="5" t="s">
        <v>339</v>
      </c>
      <c r="F1793" s="9">
        <v>94</v>
      </c>
      <c r="G1793" s="9">
        <v>1033</v>
      </c>
      <c r="H1793" s="5" t="s">
        <v>20</v>
      </c>
      <c r="I1793" s="5" t="s">
        <v>4558</v>
      </c>
      <c r="J1793" s="12" t="str">
        <f>HYPERLINK("https://www.boe.es/gazeta/dias/1804/11/23/pdfs/GMD-1804-94.pdf#page=1","Abrir facsímil")</f>
        <v>Abrir facsímil</v>
      </c>
      <c r="K1793" s="15" t="s">
        <v>22</v>
      </c>
    </row>
    <row r="1794" spans="1:11" ht="42" customHeight="1">
      <c r="A1794" s="4" t="s">
        <v>4559</v>
      </c>
      <c r="B1794" s="5" t="s">
        <v>4559</v>
      </c>
      <c r="C1794" s="5" t="s">
        <v>27</v>
      </c>
      <c r="D1794" s="5" t="s">
        <v>28</v>
      </c>
      <c r="E1794" s="5" t="s">
        <v>542</v>
      </c>
      <c r="F1794" s="9">
        <v>54</v>
      </c>
      <c r="G1794" s="9">
        <v>601</v>
      </c>
      <c r="H1794" s="5" t="s">
        <v>20</v>
      </c>
      <c r="I1794" s="5" t="s">
        <v>4560</v>
      </c>
      <c r="J1794" s="12" t="str">
        <f>HYPERLINK("https://www.boe.es/gazeta/dias/1804/07/06/pdfs/GMD-1804-54.pdf#page=7","Abrir facsímil")</f>
        <v>Abrir facsímil</v>
      </c>
      <c r="K1794" s="15" t="s">
        <v>22</v>
      </c>
    </row>
    <row r="1795" spans="1:11" ht="42" customHeight="1">
      <c r="A1795" s="4" t="s">
        <v>4561</v>
      </c>
      <c r="B1795" s="5" t="s">
        <v>4561</v>
      </c>
      <c r="C1795" s="5" t="s">
        <v>57</v>
      </c>
      <c r="D1795" s="5" t="s">
        <v>58</v>
      </c>
      <c r="E1795" s="5" t="s">
        <v>208</v>
      </c>
      <c r="F1795" s="9">
        <v>97</v>
      </c>
      <c r="G1795" s="9">
        <v>1076</v>
      </c>
      <c r="H1795" s="5" t="s">
        <v>20</v>
      </c>
      <c r="I1795" s="5" t="s">
        <v>4562</v>
      </c>
      <c r="J1795" s="12" t="str">
        <f>HYPERLINK("https://www.boe.es/gazeta/dias/1804/12/04/pdfs/GMD-1804-97.pdf#page=4","Abrir facsímil")</f>
        <v>Abrir facsímil</v>
      </c>
      <c r="K1795" s="15" t="s">
        <v>22</v>
      </c>
    </row>
    <row r="1796" spans="1:11" ht="42" customHeight="1">
      <c r="A1796" s="4" t="s">
        <v>4563</v>
      </c>
      <c r="B1796" s="5" t="s">
        <v>4563</v>
      </c>
      <c r="C1796" s="5" t="s">
        <v>17</v>
      </c>
      <c r="D1796" s="5" t="s">
        <v>18</v>
      </c>
      <c r="E1796" s="5" t="s">
        <v>71</v>
      </c>
      <c r="F1796" s="9">
        <v>99</v>
      </c>
      <c r="G1796" s="9">
        <v>1103</v>
      </c>
      <c r="H1796" s="5" t="s">
        <v>20</v>
      </c>
      <c r="I1796" s="5" t="s">
        <v>4564</v>
      </c>
      <c r="J1796" s="12" t="str">
        <f>HYPERLINK("https://www.boe.es/gazeta/dias/1804/12/11/pdfs/GMD-1804-99.pdf#page=3","Abrir facsímil")</f>
        <v>Abrir facsímil</v>
      </c>
      <c r="K1796" s="15" t="s">
        <v>22</v>
      </c>
    </row>
    <row r="1797" spans="1:11" ht="42" customHeight="1">
      <c r="A1797" s="4" t="s">
        <v>4565</v>
      </c>
      <c r="B1797" s="5" t="s">
        <v>4565</v>
      </c>
      <c r="C1797" s="5" t="s">
        <v>57</v>
      </c>
      <c r="D1797" s="5" t="s">
        <v>58</v>
      </c>
      <c r="E1797" s="5" t="s">
        <v>308</v>
      </c>
      <c r="F1797" s="9">
        <v>96</v>
      </c>
      <c r="G1797" s="9">
        <v>1062</v>
      </c>
      <c r="H1797" s="5" t="s">
        <v>20</v>
      </c>
      <c r="I1797" s="5" t="s">
        <v>4566</v>
      </c>
      <c r="J1797" s="12" t="str">
        <f>HYPERLINK("https://www.boe.es/gazeta/dias/1804/11/30/pdfs/GMD-1804-96.pdf#page=2","Abrir facsímil")</f>
        <v>Abrir facsímil</v>
      </c>
      <c r="K1797" s="15" t="s">
        <v>22</v>
      </c>
    </row>
    <row r="1798" spans="1:11" ht="42" customHeight="1">
      <c r="A1798" s="4" t="s">
        <v>4567</v>
      </c>
      <c r="B1798" s="5" t="s">
        <v>4567</v>
      </c>
      <c r="C1798" s="5" t="s">
        <v>57</v>
      </c>
      <c r="D1798" s="5" t="s">
        <v>58</v>
      </c>
      <c r="E1798" s="5" t="s">
        <v>1020</v>
      </c>
      <c r="F1798" s="9">
        <v>103</v>
      </c>
      <c r="G1798" s="9">
        <v>1141</v>
      </c>
      <c r="H1798" s="5" t="s">
        <v>20</v>
      </c>
      <c r="I1798" s="5" t="s">
        <v>4568</v>
      </c>
      <c r="J1798" s="12" t="str">
        <f>HYPERLINK("https://www.boe.es/gazeta/dias/1804/12/25/pdfs/GMD-1804-103.pdf#page=1","Abrir facsímil")</f>
        <v>Abrir facsímil</v>
      </c>
      <c r="K1798" s="15" t="s">
        <v>22</v>
      </c>
    </row>
    <row r="1799" spans="1:11" ht="42" customHeight="1">
      <c r="A1799" s="4" t="s">
        <v>4569</v>
      </c>
      <c r="B1799" s="5" t="s">
        <v>4569</v>
      </c>
      <c r="C1799" s="5" t="s">
        <v>27</v>
      </c>
      <c r="D1799" s="5" t="s">
        <v>28</v>
      </c>
      <c r="E1799" s="5" t="s">
        <v>43</v>
      </c>
      <c r="F1799" s="9">
        <v>84</v>
      </c>
      <c r="G1799" s="9">
        <v>924</v>
      </c>
      <c r="H1799" s="5" t="s">
        <v>20</v>
      </c>
      <c r="I1799" s="5" t="s">
        <v>4570</v>
      </c>
      <c r="J1799" s="12" t="str">
        <f>HYPERLINK("https://www.boe.es/gazeta/dias/1804/10/19/pdfs/GMD-1804-84.pdf#page=2","Abrir facsímil")</f>
        <v>Abrir facsímil</v>
      </c>
      <c r="K1799" s="15" t="s">
        <v>22</v>
      </c>
    </row>
    <row r="1800" spans="1:11" ht="42" customHeight="1">
      <c r="A1800" s="4" t="s">
        <v>4571</v>
      </c>
      <c r="B1800" s="5" t="s">
        <v>4571</v>
      </c>
      <c r="C1800" s="5" t="s">
        <v>57</v>
      </c>
      <c r="D1800" s="5" t="s">
        <v>58</v>
      </c>
      <c r="E1800" s="5" t="s">
        <v>147</v>
      </c>
      <c r="F1800" s="9">
        <v>77</v>
      </c>
      <c r="G1800" s="9">
        <v>853</v>
      </c>
      <c r="H1800" s="5" t="s">
        <v>20</v>
      </c>
      <c r="I1800" s="5" t="s">
        <v>4572</v>
      </c>
      <c r="J1800" s="12" t="str">
        <f>HYPERLINK("https://www.boe.es/gazeta/dias/1804/09/25/pdfs/GMD-1804-77.pdf#page=3","Abrir facsímil")</f>
        <v>Abrir facsímil</v>
      </c>
      <c r="K1800" s="15" t="s">
        <v>22</v>
      </c>
    </row>
    <row r="1801" spans="1:11" ht="42" customHeight="1">
      <c r="A1801" s="4" t="s">
        <v>4573</v>
      </c>
      <c r="B1801" s="5" t="s">
        <v>4573</v>
      </c>
      <c r="C1801" s="5" t="s">
        <v>57</v>
      </c>
      <c r="D1801" s="5" t="s">
        <v>58</v>
      </c>
      <c r="E1801" s="5" t="s">
        <v>526</v>
      </c>
      <c r="F1801" s="9">
        <v>95</v>
      </c>
      <c r="G1801" s="9">
        <v>1053</v>
      </c>
      <c r="H1801" s="5" t="s">
        <v>20</v>
      </c>
      <c r="I1801" s="5" t="s">
        <v>4574</v>
      </c>
      <c r="J1801" s="12" t="str">
        <f>HYPERLINK("https://www.boe.es/gazeta/dias/1804/11/27/pdfs/GMD-1804-95.pdf#page=5","Abrir facsímil")</f>
        <v>Abrir facsímil</v>
      </c>
      <c r="K1801" s="15" t="s">
        <v>22</v>
      </c>
    </row>
    <row r="1802" spans="1:11" ht="42" customHeight="1">
      <c r="A1802" s="4" t="s">
        <v>4575</v>
      </c>
      <c r="B1802" s="5" t="s">
        <v>4575</v>
      </c>
      <c r="C1802" s="5" t="s">
        <v>57</v>
      </c>
      <c r="D1802" s="5" t="s">
        <v>58</v>
      </c>
      <c r="E1802" s="5" t="s">
        <v>226</v>
      </c>
      <c r="F1802" s="9">
        <v>17</v>
      </c>
      <c r="G1802" s="9">
        <v>181</v>
      </c>
      <c r="H1802" s="5" t="s">
        <v>20</v>
      </c>
      <c r="I1802" s="5" t="s">
        <v>4576</v>
      </c>
      <c r="J1802" s="12" t="str">
        <f>HYPERLINK("https://www.boe.es/gazeta/dias/1804/02/28/pdfs/GMD-1804-17.pdf#page=1","Abrir facsímil")</f>
        <v>Abrir facsímil</v>
      </c>
      <c r="K1802" s="15" t="s">
        <v>22</v>
      </c>
    </row>
    <row r="1803" spans="1:11" ht="42" customHeight="1">
      <c r="A1803" s="4" t="s">
        <v>4575</v>
      </c>
      <c r="B1803" s="5" t="s">
        <v>4575</v>
      </c>
      <c r="C1803" s="5" t="s">
        <v>57</v>
      </c>
      <c r="D1803" s="5" t="s">
        <v>58</v>
      </c>
      <c r="E1803" s="5" t="s">
        <v>576</v>
      </c>
      <c r="F1803" s="9">
        <v>85</v>
      </c>
      <c r="G1803" s="9">
        <v>934</v>
      </c>
      <c r="H1803" s="5" t="s">
        <v>20</v>
      </c>
      <c r="I1803" s="5" t="s">
        <v>4577</v>
      </c>
      <c r="J1803" s="12" t="str">
        <f>HYPERLINK("https://www.boe.es/gazeta/dias/1804/10/23/pdfs/GMD-1804-85.pdf#page=4","Abrir facsímil")</f>
        <v>Abrir facsímil</v>
      </c>
      <c r="K1803" s="15" t="s">
        <v>22</v>
      </c>
    </row>
    <row r="1804" spans="1:11" ht="42" customHeight="1">
      <c r="A1804" s="4" t="s">
        <v>4575</v>
      </c>
      <c r="B1804" s="5" t="s">
        <v>4575</v>
      </c>
      <c r="C1804" s="5" t="s">
        <v>27</v>
      </c>
      <c r="D1804" s="5" t="s">
        <v>28</v>
      </c>
      <c r="E1804" s="5" t="s">
        <v>208</v>
      </c>
      <c r="F1804" s="9">
        <v>97</v>
      </c>
      <c r="G1804" s="9">
        <v>1076</v>
      </c>
      <c r="H1804" s="5" t="s">
        <v>20</v>
      </c>
      <c r="I1804" s="5" t="s">
        <v>4578</v>
      </c>
      <c r="J1804" s="12" t="str">
        <f>HYPERLINK("https://www.boe.es/gazeta/dias/1804/12/04/pdfs/GMD-1804-97.pdf#page=4","Abrir facsímil")</f>
        <v>Abrir facsímil</v>
      </c>
      <c r="K1804" s="15" t="s">
        <v>22</v>
      </c>
    </row>
    <row r="1805" spans="1:11" ht="42" customHeight="1">
      <c r="A1805" s="4" t="s">
        <v>4579</v>
      </c>
      <c r="B1805" s="5" t="s">
        <v>4579</v>
      </c>
      <c r="C1805" s="5" t="s">
        <v>57</v>
      </c>
      <c r="D1805" s="5" t="s">
        <v>58</v>
      </c>
      <c r="E1805" s="5" t="s">
        <v>251</v>
      </c>
      <c r="F1805" s="9">
        <v>79</v>
      </c>
      <c r="G1805" s="9">
        <v>875</v>
      </c>
      <c r="H1805" s="5" t="s">
        <v>20</v>
      </c>
      <c r="I1805" s="5" t="s">
        <v>4580</v>
      </c>
      <c r="J1805" s="12" t="str">
        <f>HYPERLINK("https://www.boe.es/gazeta/dias/1804/10/02/pdfs/GMD-1804-79.pdf#page=5","Abrir facsímil")</f>
        <v>Abrir facsímil</v>
      </c>
      <c r="K1805" s="15" t="s">
        <v>22</v>
      </c>
    </row>
    <row r="1806" spans="1:11" ht="42" customHeight="1">
      <c r="A1806" s="4" t="s">
        <v>4581</v>
      </c>
      <c r="B1806" s="5" t="s">
        <v>4581</v>
      </c>
      <c r="C1806" s="5" t="s">
        <v>27</v>
      </c>
      <c r="D1806" s="5" t="s">
        <v>28</v>
      </c>
      <c r="E1806" s="5" t="s">
        <v>37</v>
      </c>
      <c r="F1806" s="9">
        <v>29</v>
      </c>
      <c r="G1806" s="9">
        <v>320</v>
      </c>
      <c r="H1806" s="5" t="s">
        <v>20</v>
      </c>
      <c r="I1806" s="5" t="s">
        <v>4582</v>
      </c>
      <c r="J1806" s="12" t="str">
        <f>HYPERLINK("https://www.boe.es/gazeta/dias/1804/04/10/pdfs/GMD-1804-29.pdf#page=10","Abrir facsímil")</f>
        <v>Abrir facsímil</v>
      </c>
      <c r="K1806" s="15" t="s">
        <v>22</v>
      </c>
    </row>
    <row r="1807" spans="1:11" ht="42" customHeight="1">
      <c r="A1807" s="4" t="s">
        <v>4583</v>
      </c>
      <c r="B1807" s="5" t="s">
        <v>4584</v>
      </c>
      <c r="C1807" s="5" t="s">
        <v>27</v>
      </c>
      <c r="D1807" s="5" t="s">
        <v>28</v>
      </c>
      <c r="E1807" s="5" t="s">
        <v>81</v>
      </c>
      <c r="F1807" s="9">
        <v>98</v>
      </c>
      <c r="G1807" s="9">
        <v>1089</v>
      </c>
      <c r="H1807" s="5" t="s">
        <v>20</v>
      </c>
      <c r="I1807" s="5" t="s">
        <v>4585</v>
      </c>
      <c r="J1807" s="12" t="str">
        <f>HYPERLINK("https://www.boe.es/gazeta/dias/1804/12/07/pdfs/GMD-1804-98.pdf#page=5","Abrir facsímil")</f>
        <v>Abrir facsímil</v>
      </c>
      <c r="K1807" s="15" t="s">
        <v>22</v>
      </c>
    </row>
    <row r="1808" spans="1:11" ht="42" customHeight="1">
      <c r="A1808" s="4" t="s">
        <v>4586</v>
      </c>
      <c r="B1808" s="5" t="s">
        <v>4587</v>
      </c>
      <c r="C1808" s="5" t="s">
        <v>17</v>
      </c>
      <c r="D1808" s="5" t="s">
        <v>18</v>
      </c>
      <c r="E1808" s="5" t="s">
        <v>67</v>
      </c>
      <c r="F1808" s="9">
        <v>59</v>
      </c>
      <c r="G1808" s="9">
        <v>651</v>
      </c>
      <c r="H1808" s="5" t="s">
        <v>20</v>
      </c>
      <c r="I1808" s="5" t="s">
        <v>4588</v>
      </c>
      <c r="J1808" s="12" t="str">
        <f>HYPERLINK("https://www.boe.es/gazeta/dias/1804/07/24/pdfs/GMD-1804-59.pdf#page=5","Abrir facsímil")</f>
        <v>Abrir facsímil</v>
      </c>
      <c r="K1808" s="15" t="s">
        <v>22</v>
      </c>
    </row>
    <row r="1809" spans="1:11" ht="42" customHeight="1">
      <c r="A1809" s="4" t="s">
        <v>4589</v>
      </c>
      <c r="B1809" s="5" t="s">
        <v>4590</v>
      </c>
      <c r="C1809" s="5" t="s">
        <v>17</v>
      </c>
      <c r="D1809" s="5" t="s">
        <v>18</v>
      </c>
      <c r="E1809" s="5" t="s">
        <v>54</v>
      </c>
      <c r="F1809" s="9">
        <v>63</v>
      </c>
      <c r="G1809" s="9">
        <v>699</v>
      </c>
      <c r="H1809" s="5" t="s">
        <v>20</v>
      </c>
      <c r="I1809" s="5" t="s">
        <v>4591</v>
      </c>
      <c r="J1809" s="12" t="str">
        <f>HYPERLINK("https://www.boe.es/gazeta/dias/1804/08/07/pdfs/GMD-1804-63.pdf#page=9","Abrir facsímil")</f>
        <v>Abrir facsímil</v>
      </c>
      <c r="K1809" s="15" t="s">
        <v>22</v>
      </c>
    </row>
    <row r="1810" spans="1:11" ht="42" customHeight="1">
      <c r="A1810" s="4" t="s">
        <v>4592</v>
      </c>
      <c r="B1810" s="5" t="s">
        <v>4592</v>
      </c>
      <c r="C1810" s="5" t="s">
        <v>27</v>
      </c>
      <c r="D1810" s="5" t="s">
        <v>28</v>
      </c>
      <c r="E1810" s="5" t="s">
        <v>264</v>
      </c>
      <c r="F1810" s="9">
        <v>49</v>
      </c>
      <c r="G1810" s="9">
        <v>544</v>
      </c>
      <c r="H1810" s="5" t="s">
        <v>20</v>
      </c>
      <c r="I1810" s="5" t="s">
        <v>4593</v>
      </c>
      <c r="J1810" s="12" t="str">
        <f>HYPERLINK("https://www.boe.es/gazeta/dias/1804/06/19/pdfs/GMD-1804-49.pdf#page=6","Abrir facsímil")</f>
        <v>Abrir facsímil</v>
      </c>
      <c r="K1810" s="15" t="s">
        <v>22</v>
      </c>
    </row>
    <row r="1811" spans="1:11" ht="42" customHeight="1">
      <c r="A1811" s="4" t="s">
        <v>4594</v>
      </c>
      <c r="B1811" s="5" t="s">
        <v>4595</v>
      </c>
      <c r="C1811" s="5" t="s">
        <v>17</v>
      </c>
      <c r="D1811" s="5" t="s">
        <v>18</v>
      </c>
      <c r="E1811" s="5" t="s">
        <v>354</v>
      </c>
      <c r="F1811" s="9">
        <v>1</v>
      </c>
      <c r="G1811" s="9">
        <v>8</v>
      </c>
      <c r="H1811" s="5" t="s">
        <v>20</v>
      </c>
      <c r="I1811" s="5" t="s">
        <v>4596</v>
      </c>
      <c r="J1811" s="12" t="str">
        <f>HYPERLINK("https://www.boe.es/gazeta/dias/1804/01/03/pdfs/GMD-1804-1.pdf#page=8","Abrir facsímil")</f>
        <v>Abrir facsímil</v>
      </c>
      <c r="K1811" s="15" t="s">
        <v>22</v>
      </c>
    </row>
    <row r="1812" spans="1:11" ht="42" customHeight="1">
      <c r="A1812" s="4" t="s">
        <v>4597</v>
      </c>
      <c r="B1812" s="5" t="s">
        <v>4598</v>
      </c>
      <c r="C1812" s="5" t="s">
        <v>27</v>
      </c>
      <c r="D1812" s="5" t="s">
        <v>28</v>
      </c>
      <c r="E1812" s="5" t="s">
        <v>699</v>
      </c>
      <c r="F1812" s="9">
        <v>2</v>
      </c>
      <c r="G1812" s="9">
        <v>17</v>
      </c>
      <c r="H1812" s="5" t="s">
        <v>20</v>
      </c>
      <c r="I1812" s="5" t="s">
        <v>4599</v>
      </c>
      <c r="J1812" s="12" t="str">
        <f>HYPERLINK("https://www.boe.es/gazeta/dias/1804/01/06/pdfs/GMD-1804-2.pdf#page=5","Abrir facsímil")</f>
        <v>Abrir facsímil</v>
      </c>
      <c r="K1812" s="15" t="s">
        <v>22</v>
      </c>
    </row>
    <row r="1813" spans="1:11" ht="42" customHeight="1">
      <c r="A1813" s="4" t="s">
        <v>4600</v>
      </c>
      <c r="B1813" s="5" t="s">
        <v>4601</v>
      </c>
      <c r="C1813" s="5" t="s">
        <v>27</v>
      </c>
      <c r="D1813" s="5" t="s">
        <v>28</v>
      </c>
      <c r="E1813" s="5" t="s">
        <v>709</v>
      </c>
      <c r="F1813" s="9">
        <v>82</v>
      </c>
      <c r="G1813" s="9">
        <v>906</v>
      </c>
      <c r="H1813" s="5" t="s">
        <v>20</v>
      </c>
      <c r="I1813" s="5" t="s">
        <v>4602</v>
      </c>
      <c r="J1813" s="12" t="str">
        <f>HYPERLINK("https://www.boe.es/gazeta/dias/1804/10/12/pdfs/GMD-1804-82.pdf#page=8","Abrir facsímil")</f>
        <v>Abrir facsímil</v>
      </c>
      <c r="K1813" s="15" t="s">
        <v>22</v>
      </c>
    </row>
    <row r="1814" spans="1:11" ht="42" customHeight="1">
      <c r="A1814" s="4" t="s">
        <v>4603</v>
      </c>
      <c r="B1814" s="5" t="s">
        <v>4604</v>
      </c>
      <c r="C1814" s="5" t="s">
        <v>27</v>
      </c>
      <c r="D1814" s="5" t="s">
        <v>28</v>
      </c>
      <c r="E1814" s="5" t="s">
        <v>226</v>
      </c>
      <c r="F1814" s="9">
        <v>17</v>
      </c>
      <c r="G1814" s="9">
        <v>187</v>
      </c>
      <c r="H1814" s="5" t="s">
        <v>20</v>
      </c>
      <c r="I1814" s="5" t="s">
        <v>4605</v>
      </c>
      <c r="J1814" s="12" t="str">
        <f>HYPERLINK("https://www.boe.es/gazeta/dias/1804/02/28/pdfs/GMD-1804-17.pdf#page=7","Abrir facsímil")</f>
        <v>Abrir facsímil</v>
      </c>
      <c r="K1814" s="15" t="s">
        <v>22</v>
      </c>
    </row>
    <row r="1815" spans="1:11" ht="42" customHeight="1">
      <c r="A1815" s="4" t="s">
        <v>4606</v>
      </c>
      <c r="B1815" s="5" t="s">
        <v>4607</v>
      </c>
      <c r="C1815" s="5" t="s">
        <v>65</v>
      </c>
      <c r="D1815" s="5" t="s">
        <v>66</v>
      </c>
      <c r="E1815" s="5" t="s">
        <v>484</v>
      </c>
      <c r="F1815" s="9">
        <v>53</v>
      </c>
      <c r="G1815" s="9">
        <v>590</v>
      </c>
      <c r="H1815" s="5" t="s">
        <v>20</v>
      </c>
      <c r="I1815" s="5" t="s">
        <v>4608</v>
      </c>
      <c r="J1815" s="12" t="str">
        <f>HYPERLINK("https://www.boe.es/gazeta/dias/1804/07/03/pdfs/GMD-1804-53.pdf#page=8","Abrir facsímil")</f>
        <v>Abrir facsímil</v>
      </c>
      <c r="K1815" s="15" t="s">
        <v>22</v>
      </c>
    </row>
    <row r="1816" spans="1:11" ht="42" customHeight="1">
      <c r="A1816" s="4" t="s">
        <v>4606</v>
      </c>
      <c r="B1816" s="5" t="s">
        <v>4607</v>
      </c>
      <c r="C1816" s="5" t="s">
        <v>27</v>
      </c>
      <c r="D1816" s="5" t="s">
        <v>28</v>
      </c>
      <c r="E1816" s="5" t="s">
        <v>67</v>
      </c>
      <c r="F1816" s="9">
        <v>59</v>
      </c>
      <c r="G1816" s="9">
        <v>652</v>
      </c>
      <c r="H1816" s="5" t="s">
        <v>20</v>
      </c>
      <c r="I1816" s="5" t="s">
        <v>4609</v>
      </c>
      <c r="J1816" s="12" t="str">
        <f>HYPERLINK("https://www.boe.es/gazeta/dias/1804/07/24/pdfs/GMD-1804-59.pdf#page=6","Abrir facsímil")</f>
        <v>Abrir facsímil</v>
      </c>
      <c r="K1816" s="15" t="s">
        <v>22</v>
      </c>
    </row>
    <row r="1817" spans="1:11" ht="42" customHeight="1">
      <c r="A1817" s="4" t="s">
        <v>4610</v>
      </c>
      <c r="B1817" s="5" t="s">
        <v>4610</v>
      </c>
      <c r="C1817" s="5" t="s">
        <v>57</v>
      </c>
      <c r="D1817" s="5" t="s">
        <v>58</v>
      </c>
      <c r="E1817" s="5" t="s">
        <v>132</v>
      </c>
      <c r="F1817" s="9">
        <v>52</v>
      </c>
      <c r="G1817" s="9">
        <v>568</v>
      </c>
      <c r="H1817" s="5" t="s">
        <v>20</v>
      </c>
      <c r="I1817" s="5" t="s">
        <v>4611</v>
      </c>
      <c r="J1817" s="12" t="str">
        <f>HYPERLINK("https://www.boe.es/gazeta/dias/1804/06/29/pdfs/GMD-1804-52.pdf#page=2","Abrir facsímil")</f>
        <v>Abrir facsímil</v>
      </c>
      <c r="K1817" s="15" t="s">
        <v>22</v>
      </c>
    </row>
    <row r="1818" spans="1:11" ht="42" customHeight="1">
      <c r="A1818" s="4" t="s">
        <v>4612</v>
      </c>
      <c r="B1818" s="5" t="s">
        <v>4613</v>
      </c>
      <c r="C1818" s="5" t="s">
        <v>17</v>
      </c>
      <c r="D1818" s="5" t="s">
        <v>18</v>
      </c>
      <c r="E1818" s="5" t="s">
        <v>71</v>
      </c>
      <c r="F1818" s="9">
        <v>99</v>
      </c>
      <c r="G1818" s="9">
        <v>1106</v>
      </c>
      <c r="H1818" s="5" t="s">
        <v>20</v>
      </c>
      <c r="I1818" s="5" t="s">
        <v>4614</v>
      </c>
      <c r="J1818" s="12" t="str">
        <f>HYPERLINK("https://www.boe.es/gazeta/dias/1804/12/11/pdfs/GMD-1804-99.pdf#page=6","Abrir facsímil")</f>
        <v>Abrir facsímil</v>
      </c>
      <c r="K1818" s="15" t="s">
        <v>22</v>
      </c>
    </row>
    <row r="1819" spans="1:11" ht="42" customHeight="1">
      <c r="A1819" s="4" t="s">
        <v>4615</v>
      </c>
      <c r="B1819" s="5" t="s">
        <v>4616</v>
      </c>
      <c r="C1819" s="5" t="s">
        <v>17</v>
      </c>
      <c r="D1819" s="5" t="s">
        <v>18</v>
      </c>
      <c r="E1819" s="5" t="s">
        <v>71</v>
      </c>
      <c r="F1819" s="9">
        <v>99</v>
      </c>
      <c r="G1819" s="9">
        <v>1107</v>
      </c>
      <c r="H1819" s="5" t="s">
        <v>20</v>
      </c>
      <c r="I1819" s="5" t="s">
        <v>4617</v>
      </c>
      <c r="J1819" s="12" t="str">
        <f>HYPERLINK("https://www.boe.es/gazeta/dias/1804/12/11/pdfs/GMD-1804-99.pdf#page=7","Abrir facsímil")</f>
        <v>Abrir facsímil</v>
      </c>
      <c r="K1819" s="15" t="s">
        <v>22</v>
      </c>
    </row>
    <row r="1820" spans="1:11" ht="42" customHeight="1">
      <c r="A1820" s="4" t="s">
        <v>4618</v>
      </c>
      <c r="B1820" s="5" t="s">
        <v>4618</v>
      </c>
      <c r="C1820" s="5" t="s">
        <v>262</v>
      </c>
      <c r="D1820" s="5" t="s">
        <v>263</v>
      </c>
      <c r="E1820" s="5" t="s">
        <v>241</v>
      </c>
      <c r="F1820" s="9">
        <v>71</v>
      </c>
      <c r="G1820" s="9">
        <v>795</v>
      </c>
      <c r="H1820" s="5" t="s">
        <v>20</v>
      </c>
      <c r="I1820" s="5" t="s">
        <v>4619</v>
      </c>
      <c r="J1820" s="12" t="str">
        <f>HYPERLINK("https://www.boe.es/gazeta/dias/1804/09/04/pdfs/GMD-C-1804-71.pdf#page=1","Abrir facsímil")</f>
        <v>Abrir facsímil</v>
      </c>
      <c r="K1820" s="15" t="s">
        <v>22</v>
      </c>
    </row>
    <row r="1821" spans="1:11" ht="42" customHeight="1">
      <c r="A1821" s="4" t="s">
        <v>4620</v>
      </c>
      <c r="B1821" s="5" t="s">
        <v>4620</v>
      </c>
      <c r="C1821" s="5" t="s">
        <v>27</v>
      </c>
      <c r="D1821" s="5" t="s">
        <v>28</v>
      </c>
      <c r="E1821" s="5" t="s">
        <v>670</v>
      </c>
      <c r="F1821" s="9">
        <v>41</v>
      </c>
      <c r="G1821" s="9">
        <v>458</v>
      </c>
      <c r="H1821" s="5" t="s">
        <v>20</v>
      </c>
      <c r="I1821" s="5" t="s">
        <v>4621</v>
      </c>
      <c r="J1821" s="12" t="str">
        <f>HYPERLINK("https://www.boe.es/gazeta/dias/1804/05/22/pdfs/GMD-1804-41.pdf#page=8","Abrir facsímil")</f>
        <v>Abrir facsímil</v>
      </c>
      <c r="K1821" s="15" t="s">
        <v>22</v>
      </c>
    </row>
    <row r="1822" spans="1:11" ht="42" customHeight="1">
      <c r="A1822" s="4" t="s">
        <v>4622</v>
      </c>
      <c r="B1822" s="5" t="s">
        <v>4622</v>
      </c>
      <c r="C1822" s="5" t="s">
        <v>17</v>
      </c>
      <c r="D1822" s="5" t="s">
        <v>18</v>
      </c>
      <c r="E1822" s="5" t="s">
        <v>245</v>
      </c>
      <c r="F1822" s="9">
        <v>6</v>
      </c>
      <c r="G1822" s="9">
        <v>56</v>
      </c>
      <c r="H1822" s="5" t="s">
        <v>20</v>
      </c>
      <c r="I1822" s="5" t="s">
        <v>4623</v>
      </c>
      <c r="J1822" s="12" t="str">
        <f>HYPERLINK("https://www.boe.es/gazeta/dias/1804/01/20/pdfs/GMD-1804-6.pdf#page=8","Abrir facsímil")</f>
        <v>Abrir facsímil</v>
      </c>
      <c r="K1822" s="15" t="s">
        <v>22</v>
      </c>
    </row>
    <row r="1823" spans="1:11" ht="42" customHeight="1">
      <c r="A1823" s="4" t="s">
        <v>4624</v>
      </c>
      <c r="B1823" s="5" t="s">
        <v>4625</v>
      </c>
      <c r="C1823" s="5" t="s">
        <v>57</v>
      </c>
      <c r="D1823" s="5" t="s">
        <v>58</v>
      </c>
      <c r="E1823" s="5" t="s">
        <v>41</v>
      </c>
      <c r="F1823" s="9">
        <v>24</v>
      </c>
      <c r="G1823" s="9">
        <v>267</v>
      </c>
      <c r="H1823" s="5" t="s">
        <v>20</v>
      </c>
      <c r="I1823" s="5" t="s">
        <v>4626</v>
      </c>
      <c r="J1823" s="12" t="str">
        <f>HYPERLINK("https://www.boe.es/gazeta/dias/1804/03/23/pdfs/GMD-1804-24.pdf#page=1","Abrir facsímil")</f>
        <v>Abrir facsímil</v>
      </c>
      <c r="K1823" s="15" t="s">
        <v>22</v>
      </c>
    </row>
    <row r="1824" spans="1:11" ht="42" customHeight="1">
      <c r="A1824" s="4" t="s">
        <v>4627</v>
      </c>
      <c r="B1824" s="5" t="s">
        <v>4627</v>
      </c>
      <c r="C1824" s="5" t="s">
        <v>198</v>
      </c>
      <c r="D1824" s="5" t="s">
        <v>66</v>
      </c>
      <c r="E1824" s="5" t="s">
        <v>350</v>
      </c>
      <c r="F1824" s="9">
        <v>19</v>
      </c>
      <c r="G1824" s="9">
        <v>208</v>
      </c>
      <c r="H1824" s="5" t="s">
        <v>20</v>
      </c>
      <c r="I1824" s="5" t="s">
        <v>4628</v>
      </c>
      <c r="J1824" s="12" t="str">
        <f>HYPERLINK("https://www.boe.es/gazeta/dias/1804/03/06/pdfs/GMD-1804-19.pdf#page=8","Abrir facsímil")</f>
        <v>Abrir facsímil</v>
      </c>
      <c r="K1824" s="15" t="s">
        <v>22</v>
      </c>
    </row>
    <row r="1825" spans="1:11" ht="42" customHeight="1">
      <c r="A1825" s="4" t="s">
        <v>4629</v>
      </c>
      <c r="B1825" s="5" t="s">
        <v>4630</v>
      </c>
      <c r="C1825" s="5" t="s">
        <v>17</v>
      </c>
      <c r="D1825" s="5" t="s">
        <v>18</v>
      </c>
      <c r="E1825" s="5" t="s">
        <v>258</v>
      </c>
      <c r="F1825" s="9">
        <v>14</v>
      </c>
      <c r="G1825" s="9">
        <v>153</v>
      </c>
      <c r="H1825" s="5" t="s">
        <v>20</v>
      </c>
      <c r="I1825" s="5" t="s">
        <v>4631</v>
      </c>
      <c r="J1825" s="12" t="str">
        <f>HYPERLINK("https://www.boe.es/gazeta/dias/1804/02/17/pdfs/GMD-1804-14.pdf#page=9","Abrir facsímil")</f>
        <v>Abrir facsímil</v>
      </c>
      <c r="K1825" s="15" t="s">
        <v>22</v>
      </c>
    </row>
    <row r="1826" spans="1:11" ht="42" customHeight="1">
      <c r="A1826" s="4" t="s">
        <v>4632</v>
      </c>
      <c r="B1826" s="5" t="s">
        <v>4633</v>
      </c>
      <c r="C1826" s="5" t="s">
        <v>65</v>
      </c>
      <c r="D1826" s="5" t="s">
        <v>66</v>
      </c>
      <c r="E1826" s="5" t="s">
        <v>678</v>
      </c>
      <c r="F1826" s="9">
        <v>104</v>
      </c>
      <c r="G1826" s="9">
        <v>1162</v>
      </c>
      <c r="H1826" s="5" t="s">
        <v>20</v>
      </c>
      <c r="I1826" s="5" t="s">
        <v>4634</v>
      </c>
      <c r="J1826" s="12" t="str">
        <f>HYPERLINK("https://www.boe.es/gazeta/dias/1804/12/28/pdfs/GMD-1804-104.pdf#page=10","Abrir facsímil")</f>
        <v>Abrir facsímil</v>
      </c>
      <c r="K1826" s="15" t="s">
        <v>22</v>
      </c>
    </row>
    <row r="1827" spans="1:11" ht="42" customHeight="1">
      <c r="A1827" s="4" t="s">
        <v>4635</v>
      </c>
      <c r="B1827" s="5" t="s">
        <v>4636</v>
      </c>
      <c r="C1827" s="5" t="s">
        <v>27</v>
      </c>
      <c r="D1827" s="5" t="s">
        <v>28</v>
      </c>
      <c r="E1827" s="5" t="s">
        <v>490</v>
      </c>
      <c r="F1827" s="9">
        <v>100</v>
      </c>
      <c r="G1827" s="9">
        <v>1119</v>
      </c>
      <c r="H1827" s="5" t="s">
        <v>20</v>
      </c>
      <c r="I1827" s="5" t="s">
        <v>4637</v>
      </c>
      <c r="J1827" s="12" t="str">
        <f>HYPERLINK("https://www.boe.es/gazeta/dias/1804/12/14/pdfs/GMD-1804-100.pdf#page=11","Abrir facsímil")</f>
        <v>Abrir facsímil</v>
      </c>
      <c r="K1827" s="15" t="s">
        <v>22</v>
      </c>
    </row>
    <row r="1828" spans="1:11" ht="42" customHeight="1">
      <c r="A1828" s="4" t="s">
        <v>4638</v>
      </c>
      <c r="B1828" s="5" t="s">
        <v>4639</v>
      </c>
      <c r="C1828" s="5" t="s">
        <v>27</v>
      </c>
      <c r="D1828" s="5" t="s">
        <v>28</v>
      </c>
      <c r="E1828" s="5" t="s">
        <v>490</v>
      </c>
      <c r="F1828" s="9">
        <v>100</v>
      </c>
      <c r="G1828" s="9">
        <v>1119</v>
      </c>
      <c r="H1828" s="5" t="s">
        <v>20</v>
      </c>
      <c r="I1828" s="5" t="s">
        <v>4640</v>
      </c>
      <c r="J1828" s="12" t="str">
        <f>HYPERLINK("https://www.boe.es/gazeta/dias/1804/12/14/pdfs/GMD-1804-100.pdf#page=11","Abrir facsímil")</f>
        <v>Abrir facsímil</v>
      </c>
      <c r="K1828" s="15" t="s">
        <v>22</v>
      </c>
    </row>
    <row r="1829" spans="1:11" ht="42" customHeight="1">
      <c r="A1829" s="4" t="s">
        <v>4641</v>
      </c>
      <c r="B1829" s="5" t="s">
        <v>4642</v>
      </c>
      <c r="C1829" s="5" t="s">
        <v>17</v>
      </c>
      <c r="D1829" s="5" t="s">
        <v>18</v>
      </c>
      <c r="E1829" s="5" t="s">
        <v>159</v>
      </c>
      <c r="F1829" s="9">
        <v>15</v>
      </c>
      <c r="G1829" s="9">
        <v>163</v>
      </c>
      <c r="H1829" s="5" t="s">
        <v>20</v>
      </c>
      <c r="I1829" s="5" t="s">
        <v>4643</v>
      </c>
      <c r="J1829" s="12" t="str">
        <f>HYPERLINK("https://www.boe.es/gazeta/dias/1804/02/21/pdfs/GMD-1804-15.pdf#page=7","Abrir facsímil")</f>
        <v>Abrir facsímil</v>
      </c>
      <c r="K1829" s="15" t="s">
        <v>22</v>
      </c>
    </row>
    <row r="1830" spans="1:11" ht="42" customHeight="1">
      <c r="A1830" s="4" t="s">
        <v>4644</v>
      </c>
      <c r="B1830" s="5" t="s">
        <v>4645</v>
      </c>
      <c r="C1830" s="5" t="s">
        <v>27</v>
      </c>
      <c r="D1830" s="5" t="s">
        <v>28</v>
      </c>
      <c r="E1830" s="5" t="s">
        <v>704</v>
      </c>
      <c r="F1830" s="9">
        <v>36</v>
      </c>
      <c r="G1830" s="9">
        <v>399</v>
      </c>
      <c r="H1830" s="5" t="s">
        <v>20</v>
      </c>
      <c r="I1830" s="5" t="s">
        <v>4646</v>
      </c>
      <c r="J1830" s="12" t="str">
        <f>HYPERLINK("https://www.boe.es/gazeta/dias/1804/05/04/pdfs/GMD-1804-36.pdf#page=9","Abrir facsímil")</f>
        <v>Abrir facsímil</v>
      </c>
      <c r="K1830" s="15" t="s">
        <v>22</v>
      </c>
    </row>
    <row r="1831" spans="1:11" ht="42" customHeight="1">
      <c r="A1831" s="4" t="s">
        <v>4647</v>
      </c>
      <c r="B1831" s="5" t="s">
        <v>4647</v>
      </c>
      <c r="C1831" s="5" t="s">
        <v>17</v>
      </c>
      <c r="D1831" s="5" t="s">
        <v>18</v>
      </c>
      <c r="E1831" s="5" t="s">
        <v>175</v>
      </c>
      <c r="F1831" s="9">
        <v>58</v>
      </c>
      <c r="G1831" s="9">
        <v>640</v>
      </c>
      <c r="H1831" s="5" t="s">
        <v>20</v>
      </c>
      <c r="I1831" s="5" t="s">
        <v>4648</v>
      </c>
      <c r="J1831" s="12" t="str">
        <f>HYPERLINK("https://www.boe.es/gazeta/dias/1804/07/20/pdfs/GMD-1804-58.pdf#page=6","Abrir facsímil")</f>
        <v>Abrir facsímil</v>
      </c>
      <c r="K1831" s="15" t="s">
        <v>22</v>
      </c>
    </row>
    <row r="1832" spans="1:11" ht="42" customHeight="1">
      <c r="A1832" s="4" t="s">
        <v>4649</v>
      </c>
      <c r="B1832" s="5" t="s">
        <v>4650</v>
      </c>
      <c r="C1832" s="5" t="s">
        <v>27</v>
      </c>
      <c r="D1832" s="5" t="s">
        <v>28</v>
      </c>
      <c r="E1832" s="5" t="s">
        <v>378</v>
      </c>
      <c r="F1832" s="9">
        <v>65</v>
      </c>
      <c r="G1832" s="9">
        <v>732</v>
      </c>
      <c r="H1832" s="5" t="s">
        <v>20</v>
      </c>
      <c r="I1832" s="5" t="s">
        <v>4651</v>
      </c>
      <c r="J1832" s="12" t="str">
        <f>HYPERLINK("https://www.boe.es/gazeta/dias/1804/08/14/pdfs/GMD-1804-65.pdf#page=10","Abrir facsímil")</f>
        <v>Abrir facsímil</v>
      </c>
      <c r="K1832" s="15" t="s">
        <v>22</v>
      </c>
    </row>
    <row r="1833" spans="1:11" ht="42" customHeight="1">
      <c r="A1833" s="4" t="s">
        <v>4652</v>
      </c>
      <c r="B1833" s="5" t="s">
        <v>4653</v>
      </c>
      <c r="C1833" s="5" t="s">
        <v>120</v>
      </c>
      <c r="D1833" s="5" t="s">
        <v>121</v>
      </c>
      <c r="E1833" s="5" t="s">
        <v>33</v>
      </c>
      <c r="F1833" s="9">
        <v>48</v>
      </c>
      <c r="G1833" s="9" t="s">
        <v>122</v>
      </c>
      <c r="H1833" s="5" t="s">
        <v>20</v>
      </c>
      <c r="I1833" s="5" t="s">
        <v>4654</v>
      </c>
      <c r="J1833" s="12" t="str">
        <f>HYPERLINK("https://www.boe.es/gazeta/dias/1804/06/15/pdfs/GMD-C-1804-48.pdf#page=3","Abrir facsímil")</f>
        <v>Abrir facsímil</v>
      </c>
      <c r="K1833" s="15" t="s">
        <v>22</v>
      </c>
    </row>
    <row r="1834" spans="1:11" ht="42" customHeight="1">
      <c r="A1834" s="4" t="s">
        <v>4655</v>
      </c>
      <c r="B1834" s="5" t="s">
        <v>4656</v>
      </c>
      <c r="C1834" s="5" t="s">
        <v>198</v>
      </c>
      <c r="D1834" s="5" t="s">
        <v>66</v>
      </c>
      <c r="E1834" s="5" t="s">
        <v>350</v>
      </c>
      <c r="F1834" s="9">
        <v>19</v>
      </c>
      <c r="G1834" s="9">
        <v>212</v>
      </c>
      <c r="H1834" s="5" t="s">
        <v>20</v>
      </c>
      <c r="I1834" s="5" t="s">
        <v>4657</v>
      </c>
      <c r="J1834" s="12" t="str">
        <f>HYPERLINK("https://www.boe.es/gazeta/dias/1804/03/06/pdfs/GMD-1804-19.pdf#page=12","Abrir facsímil")</f>
        <v>Abrir facsímil</v>
      </c>
      <c r="K1834" s="15" t="s">
        <v>22</v>
      </c>
    </row>
    <row r="1835" spans="1:11" ht="42" customHeight="1">
      <c r="A1835" s="4" t="s">
        <v>4658</v>
      </c>
      <c r="B1835" s="5" t="s">
        <v>4658</v>
      </c>
      <c r="C1835" s="5" t="s">
        <v>17</v>
      </c>
      <c r="D1835" s="5" t="s">
        <v>18</v>
      </c>
      <c r="E1835" s="5" t="s">
        <v>800</v>
      </c>
      <c r="F1835" s="9">
        <v>45</v>
      </c>
      <c r="G1835" s="9">
        <v>502</v>
      </c>
      <c r="H1835" s="5" t="s">
        <v>20</v>
      </c>
      <c r="I1835" s="5" t="s">
        <v>4659</v>
      </c>
      <c r="J1835" s="12" t="str">
        <f>HYPERLINK("https://www.boe.es/gazeta/dias/1804/06/05/pdfs/GMD-1804-45.pdf#page=12","Abrir facsímil")</f>
        <v>Abrir facsímil</v>
      </c>
      <c r="K1835" s="15" t="s">
        <v>22</v>
      </c>
    </row>
    <row r="1836" spans="1:11" ht="42" customHeight="1">
      <c r="A1836" s="4" t="s">
        <v>4660</v>
      </c>
      <c r="B1836" s="5" t="s">
        <v>4660</v>
      </c>
      <c r="C1836" s="5" t="s">
        <v>85</v>
      </c>
      <c r="D1836" s="5" t="s">
        <v>86</v>
      </c>
      <c r="E1836" s="5" t="s">
        <v>709</v>
      </c>
      <c r="F1836" s="9">
        <v>82</v>
      </c>
      <c r="G1836" s="9">
        <v>910</v>
      </c>
      <c r="H1836" s="5" t="s">
        <v>20</v>
      </c>
      <c r="I1836" s="5" t="s">
        <v>4661</v>
      </c>
      <c r="J1836" s="12" t="str">
        <f>HYPERLINK("https://www.boe.es/gazeta/dias/1804/10/12/pdfs/GMD-1804-82.pdf#page=12","Abrir facsímil")</f>
        <v>Abrir facsímil</v>
      </c>
      <c r="K1836" s="15" t="s">
        <v>22</v>
      </c>
    </row>
    <row r="1837" spans="1:11" ht="42" customHeight="1">
      <c r="A1837" s="4" t="s">
        <v>4662</v>
      </c>
      <c r="B1837" s="5" t="s">
        <v>4662</v>
      </c>
      <c r="C1837" s="5" t="s">
        <v>85</v>
      </c>
      <c r="D1837" s="5" t="s">
        <v>86</v>
      </c>
      <c r="E1837" s="5" t="s">
        <v>453</v>
      </c>
      <c r="F1837" s="9">
        <v>33</v>
      </c>
      <c r="G1837" s="9">
        <v>369</v>
      </c>
      <c r="H1837" s="5" t="s">
        <v>20</v>
      </c>
      <c r="I1837" s="5" t="s">
        <v>4663</v>
      </c>
      <c r="J1837" s="12" t="str">
        <f>HYPERLINK("https://www.boe.es/gazeta/dias/1804/04/24/pdfs/GMD-1804-33.pdf#page=11","Abrir facsímil")</f>
        <v>Abrir facsímil</v>
      </c>
      <c r="K1837" s="15" t="s">
        <v>22</v>
      </c>
    </row>
    <row r="1838" spans="1:11" ht="42" customHeight="1">
      <c r="A1838" s="4" t="s">
        <v>4664</v>
      </c>
      <c r="B1838" s="5" t="s">
        <v>4665</v>
      </c>
      <c r="C1838" s="5" t="s">
        <v>17</v>
      </c>
      <c r="D1838" s="5" t="s">
        <v>18</v>
      </c>
      <c r="E1838" s="5" t="s">
        <v>37</v>
      </c>
      <c r="F1838" s="9">
        <v>29</v>
      </c>
      <c r="G1838" s="9">
        <v>318</v>
      </c>
      <c r="H1838" s="5" t="s">
        <v>20</v>
      </c>
      <c r="I1838" s="5" t="s">
        <v>4666</v>
      </c>
      <c r="J1838" s="12" t="str">
        <f>HYPERLINK("https://www.boe.es/gazeta/dias/1804/04/10/pdfs/GMD-1804-29.pdf#page=8","Abrir facsímil")</f>
        <v>Abrir facsímil</v>
      </c>
      <c r="K1838" s="15" t="s">
        <v>22</v>
      </c>
    </row>
    <row r="1839" spans="1:11" ht="42" customHeight="1">
      <c r="A1839" s="4" t="s">
        <v>4667</v>
      </c>
      <c r="B1839" s="5" t="s">
        <v>4668</v>
      </c>
      <c r="C1839" s="5" t="s">
        <v>27</v>
      </c>
      <c r="D1839" s="5" t="s">
        <v>28</v>
      </c>
      <c r="E1839" s="5" t="s">
        <v>704</v>
      </c>
      <c r="F1839" s="9">
        <v>36</v>
      </c>
      <c r="G1839" s="9">
        <v>400</v>
      </c>
      <c r="H1839" s="5" t="s">
        <v>20</v>
      </c>
      <c r="I1839" s="5" t="s">
        <v>4669</v>
      </c>
      <c r="J1839" s="12" t="str">
        <f>HYPERLINK("https://www.boe.es/gazeta/dias/1804/05/04/pdfs/GMD-1804-36.pdf#page=10","Abrir facsímil")</f>
        <v>Abrir facsímil</v>
      </c>
      <c r="K1839" s="15" t="s">
        <v>22</v>
      </c>
    </row>
    <row r="1840" spans="1:11" ht="42" customHeight="1">
      <c r="A1840" s="4" t="s">
        <v>4670</v>
      </c>
      <c r="B1840" s="5" t="s">
        <v>4671</v>
      </c>
      <c r="C1840" s="5" t="s">
        <v>27</v>
      </c>
      <c r="D1840" s="5" t="s">
        <v>28</v>
      </c>
      <c r="E1840" s="5" t="s">
        <v>699</v>
      </c>
      <c r="F1840" s="9">
        <v>2</v>
      </c>
      <c r="G1840" s="9">
        <v>18</v>
      </c>
      <c r="H1840" s="5" t="s">
        <v>20</v>
      </c>
      <c r="I1840" s="5" t="s">
        <v>4672</v>
      </c>
      <c r="J1840" s="12" t="str">
        <f>HYPERLINK("https://www.boe.es/gazeta/dias/1804/01/06/pdfs/GMD-1804-2.pdf#page=6","Abrir facsímil")</f>
        <v>Abrir facsímil</v>
      </c>
      <c r="K1840" s="15" t="s">
        <v>22</v>
      </c>
    </row>
    <row r="1841" spans="1:11" ht="42" customHeight="1">
      <c r="A1841" s="4" t="s">
        <v>4673</v>
      </c>
      <c r="B1841" s="5" t="s">
        <v>4674</v>
      </c>
      <c r="C1841" s="5" t="s">
        <v>27</v>
      </c>
      <c r="D1841" s="5" t="s">
        <v>28</v>
      </c>
      <c r="E1841" s="5" t="s">
        <v>163</v>
      </c>
      <c r="F1841" s="9">
        <v>70</v>
      </c>
      <c r="G1841" s="9">
        <v>784</v>
      </c>
      <c r="H1841" s="5" t="s">
        <v>20</v>
      </c>
      <c r="I1841" s="5" t="s">
        <v>4675</v>
      </c>
      <c r="J1841" s="12" t="str">
        <f>HYPERLINK("https://www.boe.es/gazeta/dias/1804/08/31/pdfs/GMD-1804-70.pdf#page=6","Abrir facsímil")</f>
        <v>Abrir facsímil</v>
      </c>
      <c r="K1841" s="15" t="s">
        <v>22</v>
      </c>
    </row>
    <row r="1842" spans="1:11" ht="42" customHeight="1">
      <c r="A1842" s="4" t="s">
        <v>4676</v>
      </c>
      <c r="B1842" s="5" t="s">
        <v>4677</v>
      </c>
      <c r="C1842" s="5" t="s">
        <v>27</v>
      </c>
      <c r="D1842" s="5" t="s">
        <v>28</v>
      </c>
      <c r="E1842" s="5" t="s">
        <v>208</v>
      </c>
      <c r="F1842" s="9">
        <v>97</v>
      </c>
      <c r="G1842" s="9">
        <v>1082</v>
      </c>
      <c r="H1842" s="5" t="s">
        <v>20</v>
      </c>
      <c r="I1842" s="5" t="s">
        <v>4678</v>
      </c>
      <c r="J1842" s="12" t="str">
        <f>HYPERLINK("https://www.boe.es/gazeta/dias/1804/12/04/pdfs/GMD-1804-97.pdf#page=10","Abrir facsímil")</f>
        <v>Abrir facsímil</v>
      </c>
      <c r="K1842" s="15" t="s">
        <v>22</v>
      </c>
    </row>
    <row r="1843" spans="1:11" ht="42" customHeight="1">
      <c r="A1843" s="4" t="s">
        <v>4679</v>
      </c>
      <c r="B1843" s="5" t="s">
        <v>4680</v>
      </c>
      <c r="C1843" s="5" t="s">
        <v>17</v>
      </c>
      <c r="D1843" s="5" t="s">
        <v>18</v>
      </c>
      <c r="E1843" s="5" t="s">
        <v>54</v>
      </c>
      <c r="F1843" s="9">
        <v>63</v>
      </c>
      <c r="G1843" s="9">
        <v>702</v>
      </c>
      <c r="H1843" s="5" t="s">
        <v>20</v>
      </c>
      <c r="I1843" s="5" t="s">
        <v>4681</v>
      </c>
      <c r="J1843" s="12" t="str">
        <f>HYPERLINK("https://www.boe.es/gazeta/dias/1804/08/07/pdfs/GMD-1804-63.pdf#page=12","Abrir facsímil")</f>
        <v>Abrir facsímil</v>
      </c>
      <c r="K1843" s="15" t="s">
        <v>22</v>
      </c>
    </row>
    <row r="1844" spans="1:11" ht="42" customHeight="1">
      <c r="A1844" s="4" t="s">
        <v>4682</v>
      </c>
      <c r="B1844" s="5" t="s">
        <v>4683</v>
      </c>
      <c r="C1844" s="5" t="s">
        <v>27</v>
      </c>
      <c r="D1844" s="5" t="s">
        <v>28</v>
      </c>
      <c r="E1844" s="5" t="s">
        <v>308</v>
      </c>
      <c r="F1844" s="9">
        <v>96</v>
      </c>
      <c r="G1844" s="9">
        <v>1067</v>
      </c>
      <c r="H1844" s="5" t="s">
        <v>20</v>
      </c>
      <c r="I1844" s="5" t="s">
        <v>4684</v>
      </c>
      <c r="J1844" s="12" t="str">
        <f>HYPERLINK("https://www.boe.es/gazeta/dias/1804/11/30/pdfs/GMD-1804-96.pdf#page=7","Abrir facsímil")</f>
        <v>Abrir facsímil</v>
      </c>
      <c r="K1844" s="15" t="s">
        <v>22</v>
      </c>
    </row>
    <row r="1845" spans="1:11" ht="42" customHeight="1">
      <c r="A1845" s="4" t="s">
        <v>4685</v>
      </c>
      <c r="B1845" s="5" t="s">
        <v>4686</v>
      </c>
      <c r="C1845" s="5" t="s">
        <v>27</v>
      </c>
      <c r="D1845" s="5" t="s">
        <v>28</v>
      </c>
      <c r="E1845" s="5" t="s">
        <v>136</v>
      </c>
      <c r="F1845" s="9">
        <v>23</v>
      </c>
      <c r="G1845" s="9">
        <v>261</v>
      </c>
      <c r="H1845" s="5" t="s">
        <v>20</v>
      </c>
      <c r="I1845" s="5" t="s">
        <v>4687</v>
      </c>
      <c r="J1845" s="12" t="str">
        <f>HYPERLINK("https://www.boe.es/gazeta/dias/1804/03/20/pdfs/GMD-1804-23.pdf#page=7","Abrir facsímil")</f>
        <v>Abrir facsímil</v>
      </c>
      <c r="K1845" s="15" t="s">
        <v>22</v>
      </c>
    </row>
    <row r="1846" spans="1:11" ht="42" customHeight="1">
      <c r="A1846" s="4" t="s">
        <v>4688</v>
      </c>
      <c r="B1846" s="5" t="s">
        <v>4689</v>
      </c>
      <c r="C1846" s="5" t="s">
        <v>85</v>
      </c>
      <c r="D1846" s="5" t="s">
        <v>86</v>
      </c>
      <c r="E1846" s="5" t="s">
        <v>298</v>
      </c>
      <c r="F1846" s="9">
        <v>10</v>
      </c>
      <c r="G1846" s="9">
        <v>112</v>
      </c>
      <c r="H1846" s="5" t="s">
        <v>20</v>
      </c>
      <c r="I1846" s="5" t="s">
        <v>4690</v>
      </c>
      <c r="J1846" s="12" t="str">
        <f>HYPERLINK("https://www.boe.es/gazeta/dias/1804/02/03/pdfs/GMD-1804-10.pdf#page=12","Abrir facsímil")</f>
        <v>Abrir facsímil</v>
      </c>
      <c r="K1846" s="15" t="s">
        <v>22</v>
      </c>
    </row>
    <row r="1847" spans="1:11" ht="42" customHeight="1">
      <c r="A1847" s="4" t="s">
        <v>4691</v>
      </c>
      <c r="B1847" s="5" t="s">
        <v>4692</v>
      </c>
      <c r="C1847" s="5" t="s">
        <v>17</v>
      </c>
      <c r="D1847" s="5" t="s">
        <v>18</v>
      </c>
      <c r="E1847" s="5" t="s">
        <v>421</v>
      </c>
      <c r="F1847" s="9">
        <v>47</v>
      </c>
      <c r="G1847" s="9">
        <v>528</v>
      </c>
      <c r="H1847" s="5" t="s">
        <v>20</v>
      </c>
      <c r="I1847" s="5" t="s">
        <v>4693</v>
      </c>
      <c r="J1847" s="12" t="str">
        <f>HYPERLINK("https://www.boe.es/gazeta/dias/1804/06/12/pdfs/GMD-1804-47.pdf#page=10","Abrir facsímil")</f>
        <v>Abrir facsímil</v>
      </c>
      <c r="K1847" s="15" t="s">
        <v>22</v>
      </c>
    </row>
    <row r="1848" spans="1:11" ht="42" customHeight="1">
      <c r="A1848" s="4" t="s">
        <v>4694</v>
      </c>
      <c r="B1848" s="5" t="s">
        <v>4694</v>
      </c>
      <c r="C1848" s="5" t="s">
        <v>17</v>
      </c>
      <c r="D1848" s="5" t="s">
        <v>18</v>
      </c>
      <c r="E1848" s="5" t="s">
        <v>37</v>
      </c>
      <c r="F1848" s="9">
        <v>29</v>
      </c>
      <c r="G1848" s="9">
        <v>319</v>
      </c>
      <c r="H1848" s="5" t="s">
        <v>20</v>
      </c>
      <c r="I1848" s="5" t="s">
        <v>4695</v>
      </c>
      <c r="J1848" s="12" t="str">
        <f>HYPERLINK("https://www.boe.es/gazeta/dias/1804/04/10/pdfs/GMD-1804-29.pdf#page=9","Abrir facsímil")</f>
        <v>Abrir facsímil</v>
      </c>
      <c r="K1848" s="15" t="s">
        <v>22</v>
      </c>
    </row>
    <row r="1849" spans="1:11" ht="42" customHeight="1">
      <c r="A1849" s="4" t="s">
        <v>4696</v>
      </c>
      <c r="B1849" s="5" t="s">
        <v>4697</v>
      </c>
      <c r="C1849" s="5" t="s">
        <v>17</v>
      </c>
      <c r="D1849" s="5" t="s">
        <v>18</v>
      </c>
      <c r="E1849" s="5" t="s">
        <v>1278</v>
      </c>
      <c r="F1849" s="9">
        <v>37</v>
      </c>
      <c r="G1849" s="9">
        <v>414</v>
      </c>
      <c r="H1849" s="5" t="s">
        <v>20</v>
      </c>
      <c r="I1849" s="5" t="s">
        <v>4698</v>
      </c>
      <c r="J1849" s="12" t="str">
        <f>HYPERLINK("https://www.boe.es/gazeta/dias/1804/05/08/pdfs/GMD-1804-37.pdf#page=12","Abrir facsímil")</f>
        <v>Abrir facsímil</v>
      </c>
      <c r="K1849" s="15" t="s">
        <v>22</v>
      </c>
    </row>
    <row r="1850" spans="1:11" ht="42" customHeight="1">
      <c r="A1850" s="4" t="s">
        <v>4696</v>
      </c>
      <c r="B1850" s="5" t="s">
        <v>4697</v>
      </c>
      <c r="C1850" s="5" t="s">
        <v>17</v>
      </c>
      <c r="D1850" s="5" t="s">
        <v>18</v>
      </c>
      <c r="E1850" s="5" t="s">
        <v>59</v>
      </c>
      <c r="F1850" s="9">
        <v>55</v>
      </c>
      <c r="G1850" s="9">
        <v>614</v>
      </c>
      <c r="H1850" s="5" t="s">
        <v>20</v>
      </c>
      <c r="I1850" s="5" t="s">
        <v>4699</v>
      </c>
      <c r="J1850" s="12" t="str">
        <f>HYPERLINK("https://www.boe.es/gazeta/dias/1804/07/10/pdfs/GMD-1804-55.pdf#page=12","Abrir facsímil")</f>
        <v>Abrir facsímil</v>
      </c>
      <c r="K1850" s="15" t="s">
        <v>22</v>
      </c>
    </row>
    <row r="1851" spans="1:11" ht="42" customHeight="1">
      <c r="A1851" s="4" t="s">
        <v>4696</v>
      </c>
      <c r="B1851" s="5" t="s">
        <v>4697</v>
      </c>
      <c r="C1851" s="5" t="s">
        <v>17</v>
      </c>
      <c r="D1851" s="5" t="s">
        <v>18</v>
      </c>
      <c r="E1851" s="5" t="s">
        <v>216</v>
      </c>
      <c r="F1851" s="9">
        <v>67</v>
      </c>
      <c r="G1851" s="9">
        <v>754</v>
      </c>
      <c r="H1851" s="5" t="s">
        <v>20</v>
      </c>
      <c r="I1851" s="5" t="s">
        <v>4700</v>
      </c>
      <c r="J1851" s="12" t="str">
        <f>HYPERLINK("https://www.boe.es/gazeta/dias/1804/08/21/pdfs/GMD-1804-67.pdf#page=12","Abrir facsímil")</f>
        <v>Abrir facsímil</v>
      </c>
      <c r="K1851" s="15" t="s">
        <v>22</v>
      </c>
    </row>
    <row r="1852" spans="1:11" ht="42" customHeight="1">
      <c r="A1852" s="4" t="s">
        <v>4696</v>
      </c>
      <c r="B1852" s="5" t="s">
        <v>4697</v>
      </c>
      <c r="C1852" s="5" t="s">
        <v>17</v>
      </c>
      <c r="D1852" s="5" t="s">
        <v>18</v>
      </c>
      <c r="E1852" s="5" t="s">
        <v>143</v>
      </c>
      <c r="F1852" s="9">
        <v>87</v>
      </c>
      <c r="G1852" s="9">
        <v>968</v>
      </c>
      <c r="H1852" s="5" t="s">
        <v>20</v>
      </c>
      <c r="I1852" s="5" t="s">
        <v>4701</v>
      </c>
      <c r="J1852" s="12" t="str">
        <f>HYPERLINK("https://www.boe.es/gazeta/dias/1804/10/30/pdfs/GMD-1804-87.pdf#page=12","Abrir facsímil")</f>
        <v>Abrir facsímil</v>
      </c>
      <c r="K1852" s="15" t="s">
        <v>22</v>
      </c>
    </row>
    <row r="1853" spans="1:11" ht="42" customHeight="1">
      <c r="A1853" s="4" t="s">
        <v>4702</v>
      </c>
      <c r="B1853" s="5" t="s">
        <v>4703</v>
      </c>
      <c r="C1853" s="5" t="s">
        <v>17</v>
      </c>
      <c r="D1853" s="5" t="s">
        <v>18</v>
      </c>
      <c r="E1853" s="5" t="s">
        <v>388</v>
      </c>
      <c r="F1853" s="9">
        <v>18</v>
      </c>
      <c r="G1853" s="9">
        <v>199</v>
      </c>
      <c r="H1853" s="5" t="s">
        <v>20</v>
      </c>
      <c r="I1853" s="5" t="s">
        <v>4704</v>
      </c>
      <c r="J1853" s="12" t="str">
        <f>HYPERLINK("https://www.boe.es/gazeta/dias/1804/03/02/pdfs/GMD-1804-18.pdf#page=11","Abrir facsímil")</f>
        <v>Abrir facsímil</v>
      </c>
      <c r="K1853" s="15" t="s">
        <v>22</v>
      </c>
    </row>
    <row r="1854" spans="1:11" ht="42" customHeight="1">
      <c r="A1854" s="4" t="s">
        <v>4705</v>
      </c>
      <c r="B1854" s="5" t="s">
        <v>4705</v>
      </c>
      <c r="C1854" s="5" t="s">
        <v>17</v>
      </c>
      <c r="D1854" s="5" t="s">
        <v>18</v>
      </c>
      <c r="E1854" s="5" t="s">
        <v>67</v>
      </c>
      <c r="F1854" s="9">
        <v>59</v>
      </c>
      <c r="G1854" s="9">
        <v>653</v>
      </c>
      <c r="H1854" s="5" t="s">
        <v>20</v>
      </c>
      <c r="I1854" s="5" t="s">
        <v>4706</v>
      </c>
      <c r="J1854" s="12" t="str">
        <f>HYPERLINK("https://www.boe.es/gazeta/dias/1804/07/24/pdfs/GMD-1804-59.pdf#page=7","Abrir facsímil")</f>
        <v>Abrir facsímil</v>
      </c>
      <c r="K1854" s="15" t="s">
        <v>22</v>
      </c>
    </row>
    <row r="1855" spans="1:11" ht="42" customHeight="1">
      <c r="A1855" s="4" t="s">
        <v>4707</v>
      </c>
      <c r="B1855" s="5" t="s">
        <v>4707</v>
      </c>
      <c r="C1855" s="5" t="s">
        <v>27</v>
      </c>
      <c r="D1855" s="5" t="s">
        <v>28</v>
      </c>
      <c r="E1855" s="5" t="s">
        <v>234</v>
      </c>
      <c r="F1855" s="9">
        <v>86</v>
      </c>
      <c r="G1855" s="9">
        <v>948</v>
      </c>
      <c r="H1855" s="5" t="s">
        <v>20</v>
      </c>
      <c r="I1855" s="5" t="s">
        <v>4708</v>
      </c>
      <c r="J1855" s="12" t="str">
        <f>HYPERLINK("https://www.boe.es/gazeta/dias/1804/10/26/pdfs/GMD-1804-86.pdf#page=6","Abrir facsímil")</f>
        <v>Abrir facsímil</v>
      </c>
      <c r="K1855" s="15" t="s">
        <v>22</v>
      </c>
    </row>
    <row r="1856" spans="1:11" ht="42" customHeight="1">
      <c r="A1856" s="4" t="s">
        <v>4709</v>
      </c>
      <c r="B1856" s="5" t="s">
        <v>4709</v>
      </c>
      <c r="C1856" s="5" t="s">
        <v>27</v>
      </c>
      <c r="D1856" s="5" t="s">
        <v>28</v>
      </c>
      <c r="E1856" s="5" t="s">
        <v>91</v>
      </c>
      <c r="F1856" s="9">
        <v>72</v>
      </c>
      <c r="G1856" s="9">
        <v>805</v>
      </c>
      <c r="H1856" s="5" t="s">
        <v>20</v>
      </c>
      <c r="I1856" s="5" t="s">
        <v>4710</v>
      </c>
      <c r="J1856" s="12" t="str">
        <f>HYPERLINK("https://www.boe.es/gazeta/dias/1804/09/07/pdfs/GMD-1804-72.pdf#page=7","Abrir facsímil")</f>
        <v>Abrir facsímil</v>
      </c>
      <c r="K1856" s="15" t="s">
        <v>22</v>
      </c>
    </row>
    <row r="1857" spans="1:11" ht="42" customHeight="1">
      <c r="A1857" s="4" t="s">
        <v>4711</v>
      </c>
      <c r="B1857" s="5" t="s">
        <v>4711</v>
      </c>
      <c r="C1857" s="5" t="s">
        <v>27</v>
      </c>
      <c r="D1857" s="5" t="s">
        <v>28</v>
      </c>
      <c r="E1857" s="5" t="s">
        <v>37</v>
      </c>
      <c r="F1857" s="9">
        <v>29</v>
      </c>
      <c r="G1857" s="9">
        <v>318</v>
      </c>
      <c r="H1857" s="5" t="s">
        <v>20</v>
      </c>
      <c r="I1857" s="5" t="s">
        <v>4712</v>
      </c>
      <c r="J1857" s="12" t="str">
        <f>HYPERLINK("https://www.boe.es/gazeta/dias/1804/04/10/pdfs/GMD-1804-29.pdf#page=8","Abrir facsímil")</f>
        <v>Abrir facsímil</v>
      </c>
      <c r="K1857" s="15" t="s">
        <v>22</v>
      </c>
    </row>
    <row r="1858" spans="1:11" ht="42" customHeight="1">
      <c r="A1858" s="4" t="s">
        <v>4713</v>
      </c>
      <c r="B1858" s="5" t="s">
        <v>4714</v>
      </c>
      <c r="C1858" s="5" t="s">
        <v>27</v>
      </c>
      <c r="D1858" s="5" t="s">
        <v>28</v>
      </c>
      <c r="E1858" s="5" t="s">
        <v>37</v>
      </c>
      <c r="F1858" s="9">
        <v>29</v>
      </c>
      <c r="G1858" s="9">
        <v>319</v>
      </c>
      <c r="H1858" s="5" t="s">
        <v>20</v>
      </c>
      <c r="I1858" s="5" t="s">
        <v>4715</v>
      </c>
      <c r="J1858" s="12" t="str">
        <f>HYPERLINK("https://www.boe.es/gazeta/dias/1804/04/10/pdfs/GMD-1804-29.pdf#page=9","Abrir facsímil")</f>
        <v>Abrir facsímil</v>
      </c>
      <c r="K1858" s="15" t="s">
        <v>22</v>
      </c>
    </row>
    <row r="1859" spans="1:11" ht="42" customHeight="1">
      <c r="A1859" s="4" t="s">
        <v>4716</v>
      </c>
      <c r="B1859" s="5" t="s">
        <v>4717</v>
      </c>
      <c r="C1859" s="5" t="s">
        <v>17</v>
      </c>
      <c r="D1859" s="5" t="s">
        <v>18</v>
      </c>
      <c r="E1859" s="5" t="s">
        <v>71</v>
      </c>
      <c r="F1859" s="9">
        <v>99</v>
      </c>
      <c r="G1859" s="9">
        <v>1107</v>
      </c>
      <c r="H1859" s="5" t="s">
        <v>20</v>
      </c>
      <c r="I1859" s="5" t="s">
        <v>4718</v>
      </c>
      <c r="J1859" s="12" t="str">
        <f>HYPERLINK("https://www.boe.es/gazeta/dias/1804/12/11/pdfs/GMD-1804-99.pdf#page=7","Abrir facsímil")</f>
        <v>Abrir facsímil</v>
      </c>
      <c r="K1859" s="15" t="s">
        <v>22</v>
      </c>
    </row>
    <row r="1860" spans="1:11" ht="42" customHeight="1">
      <c r="A1860" s="4" t="s">
        <v>4719</v>
      </c>
      <c r="B1860" s="5" t="s">
        <v>4720</v>
      </c>
      <c r="C1860" s="5" t="s">
        <v>198</v>
      </c>
      <c r="D1860" s="5" t="s">
        <v>66</v>
      </c>
      <c r="E1860" s="5" t="s">
        <v>191</v>
      </c>
      <c r="F1860" s="9">
        <v>101</v>
      </c>
      <c r="G1860" s="9">
        <v>1130</v>
      </c>
      <c r="H1860" s="5" t="s">
        <v>20</v>
      </c>
      <c r="I1860" s="5" t="s">
        <v>4721</v>
      </c>
      <c r="J1860" s="12" t="str">
        <f>HYPERLINK("https://www.boe.es/gazeta/dias/1804/12/18/pdfs/GMD-1804-101.pdf#page=10","Abrir facsímil")</f>
        <v>Abrir facsímil</v>
      </c>
      <c r="K1860" s="15" t="s">
        <v>22</v>
      </c>
    </row>
    <row r="1861" spans="1:11" ht="42" customHeight="1">
      <c r="A1861" s="4" t="s">
        <v>4722</v>
      </c>
      <c r="B1861" s="5" t="s">
        <v>4723</v>
      </c>
      <c r="C1861" s="5" t="s">
        <v>17</v>
      </c>
      <c r="D1861" s="5" t="s">
        <v>18</v>
      </c>
      <c r="E1861" s="5" t="s">
        <v>37</v>
      </c>
      <c r="F1861" s="9">
        <v>29</v>
      </c>
      <c r="G1861" s="9">
        <v>320</v>
      </c>
      <c r="H1861" s="5" t="s">
        <v>20</v>
      </c>
      <c r="I1861" s="5" t="s">
        <v>4724</v>
      </c>
      <c r="J1861" s="12" t="str">
        <f>HYPERLINK("https://www.boe.es/gazeta/dias/1804/04/10/pdfs/GMD-1804-29.pdf#page=10","Abrir facsímil")</f>
        <v>Abrir facsímil</v>
      </c>
      <c r="K1861" s="15" t="s">
        <v>22</v>
      </c>
    </row>
    <row r="1862" spans="1:11" ht="42" customHeight="1">
      <c r="A1862" s="4" t="s">
        <v>4725</v>
      </c>
      <c r="B1862" s="5" t="s">
        <v>4726</v>
      </c>
      <c r="C1862" s="5" t="s">
        <v>120</v>
      </c>
      <c r="D1862" s="5" t="s">
        <v>121</v>
      </c>
      <c r="E1862" s="5" t="s">
        <v>33</v>
      </c>
      <c r="F1862" s="9">
        <v>48</v>
      </c>
      <c r="G1862" s="9" t="s">
        <v>122</v>
      </c>
      <c r="H1862" s="5" t="s">
        <v>20</v>
      </c>
      <c r="I1862" s="5" t="s">
        <v>4727</v>
      </c>
      <c r="J1862" s="12" t="str">
        <f>HYPERLINK("https://www.boe.es/gazeta/dias/1804/06/15/pdfs/GMD-C-1804-48.pdf#page=3","Abrir facsímil")</f>
        <v>Abrir facsímil</v>
      </c>
      <c r="K1862" s="15" t="s">
        <v>22</v>
      </c>
    </row>
    <row r="1863" spans="1:11" ht="42" customHeight="1">
      <c r="A1863" s="4" t="s">
        <v>4728</v>
      </c>
      <c r="B1863" s="5" t="s">
        <v>4729</v>
      </c>
      <c r="C1863" s="5" t="s">
        <v>27</v>
      </c>
      <c r="D1863" s="5" t="s">
        <v>28</v>
      </c>
      <c r="E1863" s="5" t="s">
        <v>163</v>
      </c>
      <c r="F1863" s="9">
        <v>70</v>
      </c>
      <c r="G1863" s="9">
        <v>784</v>
      </c>
      <c r="H1863" s="5" t="s">
        <v>20</v>
      </c>
      <c r="I1863" s="5" t="s">
        <v>4730</v>
      </c>
      <c r="J1863" s="12" t="str">
        <f>HYPERLINK("https://www.boe.es/gazeta/dias/1804/08/31/pdfs/GMD-1804-70.pdf#page=6","Abrir facsímil")</f>
        <v>Abrir facsímil</v>
      </c>
      <c r="K1863" s="15" t="s">
        <v>22</v>
      </c>
    </row>
    <row r="1864" spans="1:11" ht="42" customHeight="1">
      <c r="A1864" s="4" t="s">
        <v>4731</v>
      </c>
      <c r="B1864" s="5" t="s">
        <v>4732</v>
      </c>
      <c r="C1864" s="5" t="s">
        <v>27</v>
      </c>
      <c r="D1864" s="5" t="s">
        <v>28</v>
      </c>
      <c r="E1864" s="5" t="s">
        <v>91</v>
      </c>
      <c r="F1864" s="9">
        <v>72</v>
      </c>
      <c r="G1864" s="9">
        <v>805</v>
      </c>
      <c r="H1864" s="5" t="s">
        <v>20</v>
      </c>
      <c r="I1864" s="5" t="s">
        <v>4733</v>
      </c>
      <c r="J1864" s="12" t="str">
        <f>HYPERLINK("https://www.boe.es/gazeta/dias/1804/09/07/pdfs/GMD-1804-72.pdf#page=7","Abrir facsímil")</f>
        <v>Abrir facsímil</v>
      </c>
      <c r="K1864" s="15" t="s">
        <v>22</v>
      </c>
    </row>
    <row r="1865" spans="1:11" ht="42" customHeight="1">
      <c r="A1865" s="4" t="s">
        <v>4734</v>
      </c>
      <c r="B1865" s="5" t="s">
        <v>4735</v>
      </c>
      <c r="C1865" s="5" t="s">
        <v>27</v>
      </c>
      <c r="D1865" s="5" t="s">
        <v>28</v>
      </c>
      <c r="E1865" s="5" t="s">
        <v>320</v>
      </c>
      <c r="F1865" s="9">
        <v>31</v>
      </c>
      <c r="G1865" s="9">
        <v>344</v>
      </c>
      <c r="H1865" s="5" t="s">
        <v>20</v>
      </c>
      <c r="I1865" s="5" t="s">
        <v>4736</v>
      </c>
      <c r="J1865" s="12" t="str">
        <f>HYPERLINK("https://www.boe.es/gazeta/dias/1804/04/17/pdfs/GMD-1804-31.pdf#page=10","Abrir facsímil")</f>
        <v>Abrir facsímil</v>
      </c>
      <c r="K1865" s="15" t="s">
        <v>22</v>
      </c>
    </row>
    <row r="1866" spans="1:11" ht="42" customHeight="1">
      <c r="A1866" s="4" t="s">
        <v>4737</v>
      </c>
      <c r="B1866" s="5" t="s">
        <v>4738</v>
      </c>
      <c r="C1866" s="5" t="s">
        <v>57</v>
      </c>
      <c r="D1866" s="5" t="s">
        <v>58</v>
      </c>
      <c r="E1866" s="5" t="s">
        <v>576</v>
      </c>
      <c r="F1866" s="9">
        <v>85</v>
      </c>
      <c r="G1866" s="9">
        <v>935</v>
      </c>
      <c r="H1866" s="5" t="s">
        <v>20</v>
      </c>
      <c r="I1866" s="5" t="s">
        <v>4739</v>
      </c>
      <c r="J1866" s="12" t="str">
        <f>HYPERLINK("https://www.boe.es/gazeta/dias/1804/10/23/pdfs/GMD-1804-85.pdf#page=5","Abrir facsímil")</f>
        <v>Abrir facsímil</v>
      </c>
      <c r="K1866" s="15" t="s">
        <v>22</v>
      </c>
    </row>
    <row r="1867" spans="1:11" ht="42" customHeight="1">
      <c r="A1867" s="4" t="s">
        <v>4740</v>
      </c>
      <c r="B1867" s="5" t="s">
        <v>4740</v>
      </c>
      <c r="C1867" s="5" t="s">
        <v>65</v>
      </c>
      <c r="D1867" s="5" t="s">
        <v>66</v>
      </c>
      <c r="E1867" s="5" t="s">
        <v>421</v>
      </c>
      <c r="F1867" s="9">
        <v>47</v>
      </c>
      <c r="G1867" s="9">
        <v>527</v>
      </c>
      <c r="H1867" s="5" t="s">
        <v>20</v>
      </c>
      <c r="I1867" s="5" t="s">
        <v>4741</v>
      </c>
      <c r="J1867" s="12" t="str">
        <f>HYPERLINK("https://www.boe.es/gazeta/dias/1804/06/12/pdfs/GMD-1804-47.pdf#page=9","Abrir facsímil")</f>
        <v>Abrir facsímil</v>
      </c>
      <c r="K1867" s="15" t="s">
        <v>22</v>
      </c>
    </row>
    <row r="1868" spans="1:11" ht="42" customHeight="1">
      <c r="A1868" s="4" t="s">
        <v>4742</v>
      </c>
      <c r="B1868" s="5" t="s">
        <v>4742</v>
      </c>
      <c r="C1868" s="5" t="s">
        <v>65</v>
      </c>
      <c r="D1868" s="5" t="s">
        <v>66</v>
      </c>
      <c r="E1868" s="5" t="s">
        <v>67</v>
      </c>
      <c r="F1868" s="9">
        <v>59</v>
      </c>
      <c r="G1868" s="9">
        <v>656</v>
      </c>
      <c r="H1868" s="5" t="s">
        <v>20</v>
      </c>
      <c r="I1868" s="5" t="s">
        <v>4743</v>
      </c>
      <c r="J1868" s="12" t="str">
        <f>HYPERLINK("https://www.boe.es/gazeta/dias/1804/07/24/pdfs/GMD-1804-59.pdf#page=10","Abrir facsímil")</f>
        <v>Abrir facsímil</v>
      </c>
      <c r="K1868" s="15" t="s">
        <v>22</v>
      </c>
    </row>
    <row r="1869" spans="1:11" ht="42" customHeight="1">
      <c r="A1869" s="4" t="s">
        <v>4744</v>
      </c>
      <c r="B1869" s="5" t="s">
        <v>4744</v>
      </c>
      <c r="C1869" s="5" t="s">
        <v>27</v>
      </c>
      <c r="D1869" s="5" t="s">
        <v>28</v>
      </c>
      <c r="E1869" s="5" t="s">
        <v>234</v>
      </c>
      <c r="F1869" s="9">
        <v>86</v>
      </c>
      <c r="G1869" s="9">
        <v>948</v>
      </c>
      <c r="H1869" s="5" t="s">
        <v>20</v>
      </c>
      <c r="I1869" s="5" t="s">
        <v>4745</v>
      </c>
      <c r="J1869" s="12" t="str">
        <f>HYPERLINK("https://www.boe.es/gazeta/dias/1804/10/26/pdfs/GMD-1804-86.pdf#page=6","Abrir facsímil")</f>
        <v>Abrir facsímil</v>
      </c>
      <c r="K1869" s="15" t="s">
        <v>22</v>
      </c>
    </row>
    <row r="1870" spans="1:11" ht="42" customHeight="1">
      <c r="A1870" s="4" t="s">
        <v>4746</v>
      </c>
      <c r="B1870" s="5" t="s">
        <v>4746</v>
      </c>
      <c r="C1870" s="5" t="s">
        <v>17</v>
      </c>
      <c r="D1870" s="5" t="s">
        <v>18</v>
      </c>
      <c r="E1870" s="5" t="s">
        <v>47</v>
      </c>
      <c r="F1870" s="9">
        <v>78</v>
      </c>
      <c r="G1870" s="9">
        <v>870</v>
      </c>
      <c r="H1870" s="5" t="s">
        <v>20</v>
      </c>
      <c r="I1870" s="5" t="s">
        <v>4747</v>
      </c>
      <c r="J1870" s="12" t="str">
        <f>HYPERLINK("https://www.boe.es/gazeta/dias/1804/09/28/pdfs/GMD-1804-78.pdf#page=8","Abrir facsímil")</f>
        <v>Abrir facsímil</v>
      </c>
      <c r="K1870" s="15" t="s">
        <v>22</v>
      </c>
    </row>
    <row r="1871" spans="1:11" ht="42" customHeight="1">
      <c r="A1871" s="4" t="s">
        <v>4748</v>
      </c>
      <c r="B1871" s="5" t="s">
        <v>4749</v>
      </c>
      <c r="C1871" s="5" t="s">
        <v>65</v>
      </c>
      <c r="D1871" s="5" t="s">
        <v>66</v>
      </c>
      <c r="E1871" s="5" t="s">
        <v>484</v>
      </c>
      <c r="F1871" s="9">
        <v>53</v>
      </c>
      <c r="G1871" s="9">
        <v>592</v>
      </c>
      <c r="H1871" s="5" t="s">
        <v>20</v>
      </c>
      <c r="I1871" s="5" t="s">
        <v>4750</v>
      </c>
      <c r="J1871" s="12" t="str">
        <f>HYPERLINK("https://www.boe.es/gazeta/dias/1804/07/03/pdfs/GMD-1804-53.pdf#page=10","Abrir facsímil")</f>
        <v>Abrir facsímil</v>
      </c>
      <c r="K1871" s="15" t="s">
        <v>22</v>
      </c>
    </row>
    <row r="1872" spans="1:11" ht="42" customHeight="1">
      <c r="A1872" s="4" t="s">
        <v>4751</v>
      </c>
      <c r="B1872" s="5" t="s">
        <v>4751</v>
      </c>
      <c r="C1872" s="5" t="s">
        <v>27</v>
      </c>
      <c r="D1872" s="5" t="s">
        <v>28</v>
      </c>
      <c r="E1872" s="5" t="s">
        <v>67</v>
      </c>
      <c r="F1872" s="9">
        <v>59</v>
      </c>
      <c r="G1872" s="9">
        <v>657</v>
      </c>
      <c r="H1872" s="5" t="s">
        <v>20</v>
      </c>
      <c r="I1872" s="5" t="s">
        <v>4752</v>
      </c>
      <c r="J1872" s="12" t="str">
        <f>HYPERLINK("https://www.boe.es/gazeta/dias/1804/07/24/pdfs/GMD-1804-59.pdf#page=11","Abrir facsímil")</f>
        <v>Abrir facsímil</v>
      </c>
      <c r="K1872" s="15" t="s">
        <v>22</v>
      </c>
    </row>
    <row r="1873" spans="1:11" ht="42" customHeight="1">
      <c r="A1873" s="4" t="s">
        <v>4753</v>
      </c>
      <c r="B1873" s="5" t="s">
        <v>4753</v>
      </c>
      <c r="C1873" s="5" t="s">
        <v>120</v>
      </c>
      <c r="D1873" s="5" t="s">
        <v>121</v>
      </c>
      <c r="E1873" s="5" t="s">
        <v>33</v>
      </c>
      <c r="F1873" s="9">
        <v>48</v>
      </c>
      <c r="G1873" s="9" t="s">
        <v>819</v>
      </c>
      <c r="H1873" s="5" t="s">
        <v>20</v>
      </c>
      <c r="I1873" s="5" t="s">
        <v>4754</v>
      </c>
      <c r="J1873" s="12" t="str">
        <f>HYPERLINK("https://www.boe.es/gazeta/dias/1804/06/15/pdfs/GMD-C-1804-48.pdf#page=4","Abrir facsímil")</f>
        <v>Abrir facsímil</v>
      </c>
      <c r="K1873" s="15" t="s">
        <v>22</v>
      </c>
    </row>
    <row r="1874" spans="1:11" ht="42" customHeight="1">
      <c r="A1874" s="4" t="s">
        <v>4755</v>
      </c>
      <c r="B1874" s="5" t="s">
        <v>4755</v>
      </c>
      <c r="C1874" s="5" t="s">
        <v>17</v>
      </c>
      <c r="D1874" s="5" t="s">
        <v>18</v>
      </c>
      <c r="E1874" s="5" t="s">
        <v>50</v>
      </c>
      <c r="F1874" s="9">
        <v>93</v>
      </c>
      <c r="G1874" s="9">
        <v>1030</v>
      </c>
      <c r="H1874" s="5" t="s">
        <v>20</v>
      </c>
      <c r="I1874" s="5" t="s">
        <v>4756</v>
      </c>
      <c r="J1874" s="12" t="str">
        <f>HYPERLINK("https://www.boe.es/gazeta/dias/1804/11/20/pdfs/GMD-1804-93.pdf#page=6","Abrir facsímil")</f>
        <v>Abrir facsímil</v>
      </c>
      <c r="K1874" s="15" t="s">
        <v>22</v>
      </c>
    </row>
    <row r="1875" spans="1:11" ht="42" customHeight="1">
      <c r="A1875" s="4" t="s">
        <v>4757</v>
      </c>
      <c r="B1875" s="5" t="s">
        <v>4757</v>
      </c>
      <c r="C1875" s="5" t="s">
        <v>65</v>
      </c>
      <c r="D1875" s="5" t="s">
        <v>66</v>
      </c>
      <c r="E1875" s="5" t="s">
        <v>298</v>
      </c>
      <c r="F1875" s="9">
        <v>10</v>
      </c>
      <c r="G1875" s="9">
        <v>109</v>
      </c>
      <c r="H1875" s="5" t="s">
        <v>20</v>
      </c>
      <c r="I1875" s="5" t="s">
        <v>4758</v>
      </c>
      <c r="J1875" s="12" t="str">
        <f>HYPERLINK("https://www.boe.es/gazeta/dias/1804/02/03/pdfs/GMD-1804-10.pdf#page=9","Abrir facsímil")</f>
        <v>Abrir facsímil</v>
      </c>
      <c r="K1875" s="15" t="s">
        <v>22</v>
      </c>
    </row>
    <row r="1876" spans="1:11" ht="42" customHeight="1">
      <c r="A1876" s="4" t="s">
        <v>4759</v>
      </c>
      <c r="B1876" s="5" t="s">
        <v>4759</v>
      </c>
      <c r="C1876" s="5" t="s">
        <v>27</v>
      </c>
      <c r="D1876" s="5" t="s">
        <v>28</v>
      </c>
      <c r="E1876" s="5" t="s">
        <v>151</v>
      </c>
      <c r="F1876" s="9">
        <v>13</v>
      </c>
      <c r="G1876" s="9">
        <v>143</v>
      </c>
      <c r="H1876" s="5" t="s">
        <v>20</v>
      </c>
      <c r="I1876" s="5" t="s">
        <v>4760</v>
      </c>
      <c r="J1876" s="12" t="str">
        <f>HYPERLINK("https://www.boe.es/gazeta/dias/1804/02/14/pdfs/GMD-1804-13.pdf#page=7","Abrir facsímil")</f>
        <v>Abrir facsímil</v>
      </c>
      <c r="K1876" s="15" t="s">
        <v>22</v>
      </c>
    </row>
    <row r="1877" spans="1:11" ht="42" customHeight="1">
      <c r="A1877" s="4" t="s">
        <v>4761</v>
      </c>
      <c r="B1877" s="5" t="s">
        <v>4761</v>
      </c>
      <c r="C1877" s="5" t="s">
        <v>27</v>
      </c>
      <c r="D1877" s="5" t="s">
        <v>28</v>
      </c>
      <c r="E1877" s="5" t="s">
        <v>264</v>
      </c>
      <c r="F1877" s="9">
        <v>49</v>
      </c>
      <c r="G1877" s="9">
        <v>543</v>
      </c>
      <c r="H1877" s="5" t="s">
        <v>20</v>
      </c>
      <c r="I1877" s="5" t="s">
        <v>4762</v>
      </c>
      <c r="J1877" s="12" t="str">
        <f>HYPERLINK("https://www.boe.es/gazeta/dias/1804/06/19/pdfs/GMD-1804-49.pdf#page=5","Abrir facsímil")</f>
        <v>Abrir facsímil</v>
      </c>
      <c r="K1877" s="15" t="s">
        <v>22</v>
      </c>
    </row>
    <row r="1878" spans="1:11" ht="42" customHeight="1">
      <c r="A1878" s="4" t="s">
        <v>4763</v>
      </c>
      <c r="B1878" s="5" t="s">
        <v>4763</v>
      </c>
      <c r="C1878" s="5" t="s">
        <v>85</v>
      </c>
      <c r="D1878" s="5" t="s">
        <v>86</v>
      </c>
      <c r="E1878" s="5" t="s">
        <v>1095</v>
      </c>
      <c r="F1878" s="9">
        <v>73</v>
      </c>
      <c r="G1878" s="9">
        <v>814</v>
      </c>
      <c r="H1878" s="5" t="s">
        <v>20</v>
      </c>
      <c r="I1878" s="5" t="s">
        <v>4764</v>
      </c>
      <c r="J1878" s="12" t="str">
        <f>HYPERLINK("https://www.boe.es/gazeta/dias/1804/09/11/pdfs/GMD-1804-73.pdf#page=4","Abrir facsímil")</f>
        <v>Abrir facsímil</v>
      </c>
      <c r="K1878" s="15" t="s">
        <v>22</v>
      </c>
    </row>
    <row r="1879" spans="1:11" ht="42" customHeight="1">
      <c r="A1879" s="4" t="s">
        <v>4765</v>
      </c>
      <c r="B1879" s="5" t="s">
        <v>4765</v>
      </c>
      <c r="C1879" s="5" t="s">
        <v>17</v>
      </c>
      <c r="D1879" s="5" t="s">
        <v>18</v>
      </c>
      <c r="E1879" s="5" t="s">
        <v>587</v>
      </c>
      <c r="F1879" s="9">
        <v>62</v>
      </c>
      <c r="G1879" s="9">
        <v>688</v>
      </c>
      <c r="H1879" s="5" t="s">
        <v>20</v>
      </c>
      <c r="I1879" s="5" t="s">
        <v>4766</v>
      </c>
      <c r="J1879" s="12" t="str">
        <f>HYPERLINK("https://www.boe.es/gazeta/dias/1804/08/03/pdfs/GMD-1804-62.pdf#page=10","Abrir facsímil")</f>
        <v>Abrir facsímil</v>
      </c>
      <c r="K1879" s="15" t="s">
        <v>22</v>
      </c>
    </row>
    <row r="1880" spans="1:11" ht="42" customHeight="1">
      <c r="A1880" s="4" t="s">
        <v>4767</v>
      </c>
      <c r="B1880" s="5" t="s">
        <v>4768</v>
      </c>
      <c r="C1880" s="5" t="s">
        <v>27</v>
      </c>
      <c r="D1880" s="5" t="s">
        <v>28</v>
      </c>
      <c r="E1880" s="5" t="s">
        <v>50</v>
      </c>
      <c r="F1880" s="9">
        <v>93</v>
      </c>
      <c r="G1880" s="9">
        <v>1031</v>
      </c>
      <c r="H1880" s="5" t="s">
        <v>20</v>
      </c>
      <c r="I1880" s="5" t="s">
        <v>4769</v>
      </c>
      <c r="J1880" s="12" t="str">
        <f>HYPERLINK("https://www.boe.es/gazeta/dias/1804/11/20/pdfs/GMD-1804-93.pdf#page=7","Abrir facsímil")</f>
        <v>Abrir facsímil</v>
      </c>
      <c r="K1880" s="15" t="s">
        <v>22</v>
      </c>
    </row>
    <row r="1881" spans="1:11" ht="42" customHeight="1">
      <c r="A1881" s="4" t="s">
        <v>4770</v>
      </c>
      <c r="B1881" s="5" t="s">
        <v>4770</v>
      </c>
      <c r="C1881" s="5" t="s">
        <v>198</v>
      </c>
      <c r="D1881" s="5" t="s">
        <v>66</v>
      </c>
      <c r="E1881" s="5" t="s">
        <v>360</v>
      </c>
      <c r="F1881" s="9">
        <v>81</v>
      </c>
      <c r="G1881" s="9">
        <v>897</v>
      </c>
      <c r="H1881" s="5" t="s">
        <v>20</v>
      </c>
      <c r="I1881" s="5" t="s">
        <v>4771</v>
      </c>
      <c r="J1881" s="12" t="str">
        <f>HYPERLINK("https://www.boe.es/gazeta/dias/1804/10/09/pdfs/GMD-1804-81.pdf#page=7","Abrir facsímil")</f>
        <v>Abrir facsímil</v>
      </c>
      <c r="K1881" s="15" t="s">
        <v>22</v>
      </c>
    </row>
    <row r="1882" spans="1:11" ht="42" customHeight="1">
      <c r="A1882" s="4" t="s">
        <v>4772</v>
      </c>
      <c r="B1882" s="5" t="s">
        <v>4772</v>
      </c>
      <c r="C1882" s="5" t="s">
        <v>57</v>
      </c>
      <c r="D1882" s="5" t="s">
        <v>58</v>
      </c>
      <c r="E1882" s="5" t="s">
        <v>576</v>
      </c>
      <c r="F1882" s="9">
        <v>85</v>
      </c>
      <c r="G1882" s="9">
        <v>937</v>
      </c>
      <c r="H1882" s="5" t="s">
        <v>20</v>
      </c>
      <c r="I1882" s="5" t="s">
        <v>4773</v>
      </c>
      <c r="J1882" s="12" t="str">
        <f>HYPERLINK("https://www.boe.es/gazeta/dias/1804/10/23/pdfs/GMD-1804-85.pdf#page=7","Abrir facsímil")</f>
        <v>Abrir facsímil</v>
      </c>
      <c r="K1882" s="15" t="s">
        <v>22</v>
      </c>
    </row>
    <row r="1883" spans="1:11" ht="42" customHeight="1">
      <c r="A1883" s="4" t="s">
        <v>4774</v>
      </c>
      <c r="B1883" s="5" t="s">
        <v>4774</v>
      </c>
      <c r="C1883" s="5" t="s">
        <v>57</v>
      </c>
      <c r="D1883" s="5" t="s">
        <v>58</v>
      </c>
      <c r="E1883" s="5" t="s">
        <v>736</v>
      </c>
      <c r="F1883" s="9">
        <v>83</v>
      </c>
      <c r="G1883" s="9">
        <v>915</v>
      </c>
      <c r="H1883" s="5" t="s">
        <v>20</v>
      </c>
      <c r="I1883" s="5" t="s">
        <v>4775</v>
      </c>
      <c r="J1883" s="12" t="str">
        <f>HYPERLINK("https://www.boe.es/gazeta/dias/1804/10/16/pdfs/GMD-1804-83.pdf#page=5","Abrir facsímil")</f>
        <v>Abrir facsímil</v>
      </c>
      <c r="K1883" s="15" t="s">
        <v>22</v>
      </c>
    </row>
    <row r="1884" spans="1:11" ht="42" customHeight="1">
      <c r="A1884" s="4" t="s">
        <v>4776</v>
      </c>
      <c r="B1884" s="5" t="s">
        <v>4777</v>
      </c>
      <c r="C1884" s="5" t="s">
        <v>27</v>
      </c>
      <c r="D1884" s="5" t="s">
        <v>28</v>
      </c>
      <c r="E1884" s="5" t="s">
        <v>704</v>
      </c>
      <c r="F1884" s="9">
        <v>36</v>
      </c>
      <c r="G1884" s="9">
        <v>399</v>
      </c>
      <c r="H1884" s="5" t="s">
        <v>20</v>
      </c>
      <c r="I1884" s="5" t="s">
        <v>4778</v>
      </c>
      <c r="J1884" s="12" t="str">
        <f>HYPERLINK("https://www.boe.es/gazeta/dias/1804/05/04/pdfs/GMD-1804-36.pdf#page=9","Abrir facsímil")</f>
        <v>Abrir facsímil</v>
      </c>
      <c r="K1884" s="15" t="s">
        <v>22</v>
      </c>
    </row>
    <row r="1885" spans="1:11" ht="42" customHeight="1">
      <c r="A1885" s="4" t="s">
        <v>4779</v>
      </c>
      <c r="B1885" s="5" t="s">
        <v>4779</v>
      </c>
      <c r="C1885" s="5" t="s">
        <v>17</v>
      </c>
      <c r="D1885" s="5" t="s">
        <v>18</v>
      </c>
      <c r="E1885" s="5" t="s">
        <v>216</v>
      </c>
      <c r="F1885" s="9">
        <v>67</v>
      </c>
      <c r="G1885" s="9">
        <v>749</v>
      </c>
      <c r="H1885" s="5" t="s">
        <v>20</v>
      </c>
      <c r="I1885" s="5" t="s">
        <v>4780</v>
      </c>
      <c r="J1885" s="12" t="str">
        <f>HYPERLINK("https://www.boe.es/gazeta/dias/1804/08/21/pdfs/GMD-1804-67.pdf#page=7","Abrir facsímil")</f>
        <v>Abrir facsímil</v>
      </c>
      <c r="K1885" s="15" t="s">
        <v>22</v>
      </c>
    </row>
    <row r="1886" spans="1:11" ht="42" customHeight="1">
      <c r="A1886" s="4" t="s">
        <v>4781</v>
      </c>
      <c r="B1886" s="5" t="s">
        <v>4782</v>
      </c>
      <c r="C1886" s="5" t="s">
        <v>65</v>
      </c>
      <c r="D1886" s="5" t="s">
        <v>66</v>
      </c>
      <c r="E1886" s="5" t="s">
        <v>67</v>
      </c>
      <c r="F1886" s="9">
        <v>59</v>
      </c>
      <c r="G1886" s="9">
        <v>653</v>
      </c>
      <c r="H1886" s="5" t="s">
        <v>20</v>
      </c>
      <c r="I1886" s="5" t="s">
        <v>4783</v>
      </c>
      <c r="J1886" s="12" t="str">
        <f>HYPERLINK("https://www.boe.es/gazeta/dias/1804/07/24/pdfs/GMD-1804-59.pdf#page=7","Abrir facsímil")</f>
        <v>Abrir facsímil</v>
      </c>
      <c r="K1886" s="15" t="s">
        <v>22</v>
      </c>
    </row>
    <row r="1887" spans="1:11" ht="42" customHeight="1">
      <c r="A1887" s="4" t="s">
        <v>4784</v>
      </c>
      <c r="B1887" s="5" t="s">
        <v>4784</v>
      </c>
      <c r="C1887" s="5" t="s">
        <v>27</v>
      </c>
      <c r="D1887" s="5" t="s">
        <v>28</v>
      </c>
      <c r="E1887" s="5" t="s">
        <v>1278</v>
      </c>
      <c r="F1887" s="9">
        <v>37</v>
      </c>
      <c r="G1887" s="9">
        <v>413</v>
      </c>
      <c r="H1887" s="5" t="s">
        <v>20</v>
      </c>
      <c r="I1887" s="5" t="s">
        <v>4785</v>
      </c>
      <c r="J1887" s="12" t="str">
        <f>HYPERLINK("https://www.boe.es/gazeta/dias/1804/05/08/pdfs/GMD-1804-37.pdf#page=11","Abrir facsímil")</f>
        <v>Abrir facsímil</v>
      </c>
      <c r="K1887" s="15" t="s">
        <v>22</v>
      </c>
    </row>
    <row r="1888" spans="1:11" ht="42" customHeight="1">
      <c r="A1888" s="4" t="s">
        <v>4786</v>
      </c>
      <c r="B1888" s="5" t="s">
        <v>4786</v>
      </c>
      <c r="C1888" s="5" t="s">
        <v>198</v>
      </c>
      <c r="D1888" s="5" t="s">
        <v>66</v>
      </c>
      <c r="E1888" s="5" t="s">
        <v>421</v>
      </c>
      <c r="F1888" s="9">
        <v>47</v>
      </c>
      <c r="G1888" s="9">
        <v>528</v>
      </c>
      <c r="H1888" s="5" t="s">
        <v>20</v>
      </c>
      <c r="I1888" s="5" t="s">
        <v>4787</v>
      </c>
      <c r="J1888" s="12" t="str">
        <f>HYPERLINK("https://www.boe.es/gazeta/dias/1804/06/12/pdfs/GMD-1804-47.pdf#page=10","Abrir facsímil")</f>
        <v>Abrir facsímil</v>
      </c>
      <c r="K1888" s="15" t="s">
        <v>22</v>
      </c>
    </row>
    <row r="1889" spans="1:11" ht="42" customHeight="1">
      <c r="A1889" s="4" t="s">
        <v>4788</v>
      </c>
      <c r="B1889" s="5" t="s">
        <v>4788</v>
      </c>
      <c r="C1889" s="5" t="s">
        <v>27</v>
      </c>
      <c r="D1889" s="5" t="s">
        <v>28</v>
      </c>
      <c r="E1889" s="5" t="s">
        <v>178</v>
      </c>
      <c r="F1889" s="9">
        <v>20</v>
      </c>
      <c r="G1889" s="9">
        <v>220</v>
      </c>
      <c r="H1889" s="5" t="s">
        <v>20</v>
      </c>
      <c r="I1889" s="5" t="s">
        <v>4789</v>
      </c>
      <c r="J1889" s="12" t="str">
        <f>HYPERLINK("https://www.boe.es/gazeta/dias/1804/03/09/pdfs/GMD-1804-20.pdf#page=8","Abrir facsímil")</f>
        <v>Abrir facsímil</v>
      </c>
      <c r="K1889" s="15" t="s">
        <v>22</v>
      </c>
    </row>
    <row r="1890" spans="1:11" ht="42" customHeight="1">
      <c r="A1890" s="4" t="s">
        <v>4790</v>
      </c>
      <c r="B1890" s="5" t="s">
        <v>4791</v>
      </c>
      <c r="C1890" s="5" t="s">
        <v>27</v>
      </c>
      <c r="D1890" s="5" t="s">
        <v>28</v>
      </c>
      <c r="E1890" s="5" t="s">
        <v>37</v>
      </c>
      <c r="F1890" s="9">
        <v>29</v>
      </c>
      <c r="G1890" s="9">
        <v>319</v>
      </c>
      <c r="H1890" s="5" t="s">
        <v>20</v>
      </c>
      <c r="I1890" s="5" t="s">
        <v>4792</v>
      </c>
      <c r="J1890" s="12" t="str">
        <f>HYPERLINK("https://www.boe.es/gazeta/dias/1804/04/10/pdfs/GMD-1804-29.pdf#page=9","Abrir facsímil")</f>
        <v>Abrir facsímil</v>
      </c>
      <c r="K1890" s="15" t="s">
        <v>22</v>
      </c>
    </row>
    <row r="1891" spans="1:11" ht="42" customHeight="1">
      <c r="A1891" s="4" t="s">
        <v>4793</v>
      </c>
      <c r="B1891" s="5" t="s">
        <v>4794</v>
      </c>
      <c r="C1891" s="5" t="s">
        <v>57</v>
      </c>
      <c r="D1891" s="5" t="s">
        <v>58</v>
      </c>
      <c r="E1891" s="5" t="s">
        <v>147</v>
      </c>
      <c r="F1891" s="9">
        <v>77</v>
      </c>
      <c r="G1891" s="9">
        <v>856</v>
      </c>
      <c r="H1891" s="5" t="s">
        <v>20</v>
      </c>
      <c r="I1891" s="5" t="s">
        <v>4795</v>
      </c>
      <c r="J1891" s="12" t="str">
        <f>HYPERLINK("https://www.boe.es/gazeta/dias/1804/09/25/pdfs/GMD-1804-77.pdf#page=6","Abrir facsímil")</f>
        <v>Abrir facsímil</v>
      </c>
      <c r="K1891" s="15" t="s">
        <v>22</v>
      </c>
    </row>
    <row r="1892" spans="1:11" ht="42" customHeight="1">
      <c r="A1892" s="4" t="s">
        <v>4796</v>
      </c>
      <c r="B1892" s="5" t="s">
        <v>4796</v>
      </c>
      <c r="C1892" s="5" t="s">
        <v>17</v>
      </c>
      <c r="D1892" s="5" t="s">
        <v>18</v>
      </c>
      <c r="E1892" s="5" t="s">
        <v>91</v>
      </c>
      <c r="F1892" s="9">
        <v>72</v>
      </c>
      <c r="G1892" s="9">
        <v>805</v>
      </c>
      <c r="H1892" s="5" t="s">
        <v>20</v>
      </c>
      <c r="I1892" s="5" t="s">
        <v>4797</v>
      </c>
      <c r="J1892" s="12" t="str">
        <f>HYPERLINK("https://www.boe.es/gazeta/dias/1804/09/07/pdfs/GMD-1804-72.pdf#page=7","Abrir facsímil")</f>
        <v>Abrir facsímil</v>
      </c>
      <c r="K1892" s="15" t="s">
        <v>22</v>
      </c>
    </row>
    <row r="1893" spans="1:11" ht="42" customHeight="1">
      <c r="A1893" s="4" t="s">
        <v>4798</v>
      </c>
      <c r="B1893" s="5" t="s">
        <v>4799</v>
      </c>
      <c r="C1893" s="5" t="s">
        <v>65</v>
      </c>
      <c r="D1893" s="5" t="s">
        <v>66</v>
      </c>
      <c r="E1893" s="5" t="s">
        <v>360</v>
      </c>
      <c r="F1893" s="9">
        <v>81</v>
      </c>
      <c r="G1893" s="9">
        <v>891</v>
      </c>
      <c r="H1893" s="5" t="s">
        <v>20</v>
      </c>
      <c r="I1893" s="5" t="s">
        <v>4800</v>
      </c>
      <c r="J1893" s="12" t="str">
        <f>HYPERLINK("https://www.boe.es/gazeta/dias/1804/10/09/pdfs/GMD-1804-81.pdf#page=1","Abrir facsímil")</f>
        <v>Abrir facsímil</v>
      </c>
      <c r="K1893" s="15" t="s">
        <v>22</v>
      </c>
    </row>
    <row r="1894" spans="1:11" ht="42" customHeight="1">
      <c r="A1894" s="4" t="s">
        <v>4801</v>
      </c>
      <c r="B1894" s="5" t="s">
        <v>4802</v>
      </c>
      <c r="C1894" s="5" t="s">
        <v>57</v>
      </c>
      <c r="D1894" s="5" t="s">
        <v>58</v>
      </c>
      <c r="E1894" s="5" t="s">
        <v>182</v>
      </c>
      <c r="F1894" s="9">
        <v>21</v>
      </c>
      <c r="G1894" s="9">
        <v>228</v>
      </c>
      <c r="H1894" s="5" t="s">
        <v>20</v>
      </c>
      <c r="I1894" s="5" t="s">
        <v>4803</v>
      </c>
      <c r="J1894" s="12" t="str">
        <f>HYPERLINK("https://www.boe.es/gazeta/dias/1804/03/13/pdfs/GMD-1804-21.pdf#page=4","Abrir facsímil")</f>
        <v>Abrir facsímil</v>
      </c>
      <c r="K1894" s="15" t="s">
        <v>22</v>
      </c>
    </row>
    <row r="1895" spans="1:11" ht="42" customHeight="1">
      <c r="A1895" s="4" t="s">
        <v>4804</v>
      </c>
      <c r="B1895" s="5" t="s">
        <v>4805</v>
      </c>
      <c r="C1895" s="5" t="s">
        <v>17</v>
      </c>
      <c r="D1895" s="5" t="s">
        <v>18</v>
      </c>
      <c r="E1895" s="5" t="s">
        <v>241</v>
      </c>
      <c r="F1895" s="9">
        <v>71</v>
      </c>
      <c r="G1895" s="9">
        <v>794</v>
      </c>
      <c r="H1895" s="5" t="s">
        <v>20</v>
      </c>
      <c r="I1895" s="5" t="s">
        <v>4806</v>
      </c>
      <c r="J1895" s="12" t="str">
        <f>HYPERLINK("https://www.boe.es/gazeta/dias/1804/09/04/pdfs/GMD-1804-71.pdf#page=8","Abrir facsímil")</f>
        <v>Abrir facsímil</v>
      </c>
      <c r="K1895" s="15" t="s">
        <v>22</v>
      </c>
    </row>
    <row r="1896" spans="1:11" ht="42" customHeight="1">
      <c r="A1896" s="4" t="s">
        <v>4807</v>
      </c>
      <c r="B1896" s="5" t="s">
        <v>4807</v>
      </c>
      <c r="C1896" s="5" t="s">
        <v>27</v>
      </c>
      <c r="D1896" s="5" t="s">
        <v>28</v>
      </c>
      <c r="E1896" s="5" t="s">
        <v>199</v>
      </c>
      <c r="F1896" s="9">
        <v>46</v>
      </c>
      <c r="G1896" s="9">
        <v>512</v>
      </c>
      <c r="H1896" s="5" t="s">
        <v>20</v>
      </c>
      <c r="I1896" s="5" t="s">
        <v>4808</v>
      </c>
      <c r="J1896" s="12" t="str">
        <f>HYPERLINK("https://www.boe.es/gazeta/dias/1804/06/08/pdfs/GMD-1804-46.pdf#page=10","Abrir facsímil")</f>
        <v>Abrir facsímil</v>
      </c>
      <c r="K1896" s="15" t="s">
        <v>22</v>
      </c>
    </row>
    <row r="1897" spans="1:11" ht="42" customHeight="1">
      <c r="A1897" s="4" t="s">
        <v>4809</v>
      </c>
      <c r="B1897" s="5" t="s">
        <v>4809</v>
      </c>
      <c r="C1897" s="5" t="s">
        <v>27</v>
      </c>
      <c r="D1897" s="5" t="s">
        <v>28</v>
      </c>
      <c r="E1897" s="5" t="s">
        <v>1179</v>
      </c>
      <c r="F1897" s="9">
        <v>43</v>
      </c>
      <c r="G1897" s="9">
        <v>479</v>
      </c>
      <c r="H1897" s="5" t="s">
        <v>20</v>
      </c>
      <c r="I1897" s="5" t="s">
        <v>4810</v>
      </c>
      <c r="J1897" s="12" t="str">
        <f>HYPERLINK("https://www.boe.es/gazeta/dias/1804/05/29/pdfs/GMD-1804-43.pdf#page=5","Abrir facsímil")</f>
        <v>Abrir facsímil</v>
      </c>
      <c r="K1897" s="15" t="s">
        <v>22</v>
      </c>
    </row>
    <row r="1898" spans="1:11" ht="42" customHeight="1">
      <c r="A1898" s="4" t="s">
        <v>4809</v>
      </c>
      <c r="B1898" s="5" t="s">
        <v>4809</v>
      </c>
      <c r="C1898" s="5" t="s">
        <v>57</v>
      </c>
      <c r="D1898" s="5" t="s">
        <v>58</v>
      </c>
      <c r="E1898" s="5" t="s">
        <v>61</v>
      </c>
      <c r="F1898" s="9">
        <v>61</v>
      </c>
      <c r="G1898" s="9">
        <v>675</v>
      </c>
      <c r="H1898" s="5" t="s">
        <v>20</v>
      </c>
      <c r="I1898" s="5" t="s">
        <v>4811</v>
      </c>
      <c r="J1898" s="12" t="str">
        <f>HYPERLINK("https://www.boe.es/gazeta/dias/1804/07/31/pdfs/GMD-1804-61.pdf#page=5","Abrir facsímil")</f>
        <v>Abrir facsímil</v>
      </c>
      <c r="K1898" s="15" t="s">
        <v>22</v>
      </c>
    </row>
    <row r="1899" spans="1:11" ht="42" customHeight="1">
      <c r="A1899" s="4" t="s">
        <v>4809</v>
      </c>
      <c r="B1899" s="5" t="s">
        <v>4809</v>
      </c>
      <c r="C1899" s="5" t="s">
        <v>17</v>
      </c>
      <c r="D1899" s="5" t="s">
        <v>18</v>
      </c>
      <c r="E1899" s="5" t="s">
        <v>71</v>
      </c>
      <c r="F1899" s="9">
        <v>99</v>
      </c>
      <c r="G1899" s="9">
        <v>1105</v>
      </c>
      <c r="H1899" s="5" t="s">
        <v>20</v>
      </c>
      <c r="I1899" s="5" t="s">
        <v>4812</v>
      </c>
      <c r="J1899" s="12" t="str">
        <f>HYPERLINK("https://www.boe.es/gazeta/dias/1804/12/11/pdfs/GMD-1804-99.pdf#page=5","Abrir facsímil")</f>
        <v>Abrir facsímil</v>
      </c>
      <c r="K1899" s="15" t="s">
        <v>22</v>
      </c>
    </row>
    <row r="1900" spans="1:11" ht="42" customHeight="1">
      <c r="A1900" s="4" t="s">
        <v>4813</v>
      </c>
      <c r="B1900" s="5" t="s">
        <v>4813</v>
      </c>
      <c r="C1900" s="5" t="s">
        <v>27</v>
      </c>
      <c r="D1900" s="5" t="s">
        <v>28</v>
      </c>
      <c r="E1900" s="5" t="s">
        <v>97</v>
      </c>
      <c r="F1900" s="9">
        <v>50</v>
      </c>
      <c r="G1900" s="9" t="s">
        <v>98</v>
      </c>
      <c r="H1900" s="5" t="s">
        <v>20</v>
      </c>
      <c r="I1900" s="5" t="s">
        <v>4814</v>
      </c>
      <c r="J1900" s="12" t="str">
        <f>HYPERLINK("https://www.boe.es/gazeta/dias/1804/06/22/pdfs/GMD-C-1804-50.pdf#page=1","Abrir facsímil")</f>
        <v>Abrir facsímil</v>
      </c>
      <c r="K1900" s="15" t="s">
        <v>22</v>
      </c>
    </row>
    <row r="1901" spans="1:11" ht="42" customHeight="1">
      <c r="A1901" s="4" t="s">
        <v>4815</v>
      </c>
      <c r="B1901" s="5" t="s">
        <v>4816</v>
      </c>
      <c r="C1901" s="5" t="s">
        <v>57</v>
      </c>
      <c r="D1901" s="5" t="s">
        <v>58</v>
      </c>
      <c r="E1901" s="5" t="s">
        <v>132</v>
      </c>
      <c r="F1901" s="9">
        <v>52</v>
      </c>
      <c r="G1901" s="9">
        <v>568</v>
      </c>
      <c r="H1901" s="5" t="s">
        <v>20</v>
      </c>
      <c r="I1901" s="5" t="s">
        <v>4817</v>
      </c>
      <c r="J1901" s="12" t="str">
        <f>HYPERLINK("https://www.boe.es/gazeta/dias/1804/06/29/pdfs/GMD-1804-52.pdf#page=2","Abrir facsímil")</f>
        <v>Abrir facsímil</v>
      </c>
      <c r="K1901" s="15" t="s">
        <v>22</v>
      </c>
    </row>
    <row r="1902" spans="1:11" ht="42" customHeight="1">
      <c r="A1902" s="4" t="s">
        <v>4815</v>
      </c>
      <c r="B1902" s="5" t="s">
        <v>4816</v>
      </c>
      <c r="C1902" s="5" t="s">
        <v>65</v>
      </c>
      <c r="D1902" s="5" t="s">
        <v>66</v>
      </c>
      <c r="E1902" s="5" t="s">
        <v>59</v>
      </c>
      <c r="F1902" s="9">
        <v>55</v>
      </c>
      <c r="G1902" s="9">
        <v>605</v>
      </c>
      <c r="H1902" s="5" t="s">
        <v>20</v>
      </c>
      <c r="I1902" s="5" t="s">
        <v>4818</v>
      </c>
      <c r="J1902" s="12" t="str">
        <f>HYPERLINK("https://www.boe.es/gazeta/dias/1804/07/10/pdfs/GMD-1804-55.pdf#page=3","Abrir facsímil")</f>
        <v>Abrir facsímil</v>
      </c>
      <c r="K1902" s="15" t="s">
        <v>22</v>
      </c>
    </row>
    <row r="1903" spans="1:11" ht="42" customHeight="1">
      <c r="A1903" s="4" t="s">
        <v>4819</v>
      </c>
      <c r="B1903" s="5" t="s">
        <v>4819</v>
      </c>
      <c r="C1903" s="5" t="s">
        <v>27</v>
      </c>
      <c r="D1903" s="5" t="s">
        <v>28</v>
      </c>
      <c r="E1903" s="5" t="s">
        <v>29</v>
      </c>
      <c r="F1903" s="9">
        <v>88</v>
      </c>
      <c r="G1903" s="9">
        <v>977</v>
      </c>
      <c r="H1903" s="5" t="s">
        <v>20</v>
      </c>
      <c r="I1903" s="5" t="s">
        <v>4820</v>
      </c>
      <c r="J1903" s="12" t="str">
        <f>HYPERLINK("https://www.boe.es/gazeta/dias/1804/11/02/pdfs/GMD-1804-88.pdf#page=9","Abrir facsímil")</f>
        <v>Abrir facsímil</v>
      </c>
      <c r="K1903" s="15" t="s">
        <v>22</v>
      </c>
    </row>
    <row r="1904" spans="1:11" ht="42" customHeight="1">
      <c r="A1904" s="4" t="s">
        <v>4821</v>
      </c>
      <c r="B1904" s="5" t="s">
        <v>4821</v>
      </c>
      <c r="C1904" s="5" t="s">
        <v>85</v>
      </c>
      <c r="D1904" s="5" t="s">
        <v>86</v>
      </c>
      <c r="E1904" s="5" t="s">
        <v>704</v>
      </c>
      <c r="F1904" s="9">
        <v>36</v>
      </c>
      <c r="G1904" s="9">
        <v>402</v>
      </c>
      <c r="H1904" s="5" t="s">
        <v>20</v>
      </c>
      <c r="I1904" s="5" t="s">
        <v>4822</v>
      </c>
      <c r="J1904" s="12" t="str">
        <f>HYPERLINK("https://www.boe.es/gazeta/dias/1804/05/04/pdfs/GMD-1804-36.pdf#page=12","Abrir facsímil")</f>
        <v>Abrir facsímil</v>
      </c>
      <c r="K1904" s="15" t="s">
        <v>22</v>
      </c>
    </row>
    <row r="1905" spans="1:11" ht="42" customHeight="1">
      <c r="A1905" s="4" t="s">
        <v>4823</v>
      </c>
      <c r="B1905" s="5" t="s">
        <v>4824</v>
      </c>
      <c r="C1905" s="5" t="s">
        <v>27</v>
      </c>
      <c r="D1905" s="5" t="s">
        <v>28</v>
      </c>
      <c r="E1905" s="5" t="s">
        <v>132</v>
      </c>
      <c r="F1905" s="9">
        <v>52</v>
      </c>
      <c r="G1905" s="9">
        <v>573</v>
      </c>
      <c r="H1905" s="5" t="s">
        <v>20</v>
      </c>
      <c r="I1905" s="5" t="s">
        <v>4825</v>
      </c>
      <c r="J1905" s="12" t="str">
        <f>HYPERLINK("https://www.boe.es/gazeta/dias/1804/06/29/pdfs/GMD-1804-52.pdf#page=7","Abrir facsímil")</f>
        <v>Abrir facsímil</v>
      </c>
      <c r="K1905" s="15" t="s">
        <v>22</v>
      </c>
    </row>
    <row r="1906" spans="1:11" ht="42" customHeight="1">
      <c r="A1906" s="4" t="s">
        <v>4826</v>
      </c>
      <c r="B1906" s="5" t="s">
        <v>4826</v>
      </c>
      <c r="C1906" s="5" t="s">
        <v>198</v>
      </c>
      <c r="D1906" s="5" t="s">
        <v>66</v>
      </c>
      <c r="E1906" s="5" t="s">
        <v>41</v>
      </c>
      <c r="F1906" s="9">
        <v>24</v>
      </c>
      <c r="G1906" s="9">
        <v>274</v>
      </c>
      <c r="H1906" s="5" t="s">
        <v>20</v>
      </c>
      <c r="I1906" s="5" t="s">
        <v>4827</v>
      </c>
      <c r="J1906" s="12" t="str">
        <f>HYPERLINK("https://www.boe.es/gazeta/dias/1804/03/23/pdfs/GMD-1804-24.pdf#page=8","Abrir facsímil")</f>
        <v>Abrir facsímil</v>
      </c>
      <c r="K1906" s="15" t="s">
        <v>22</v>
      </c>
    </row>
    <row r="1907" spans="1:11" ht="42" customHeight="1">
      <c r="A1907" s="4" t="s">
        <v>4828</v>
      </c>
      <c r="B1907" s="5" t="s">
        <v>4829</v>
      </c>
      <c r="C1907" s="5" t="s">
        <v>17</v>
      </c>
      <c r="D1907" s="5" t="s">
        <v>18</v>
      </c>
      <c r="E1907" s="5" t="s">
        <v>163</v>
      </c>
      <c r="F1907" s="9">
        <v>70</v>
      </c>
      <c r="G1907" s="9">
        <v>786</v>
      </c>
      <c r="H1907" s="5" t="s">
        <v>20</v>
      </c>
      <c r="I1907" s="5" t="s">
        <v>4830</v>
      </c>
      <c r="J1907" s="12" t="str">
        <f>HYPERLINK("https://www.boe.es/gazeta/dias/1804/08/31/pdfs/GMD-1804-70.pdf#page=8","Abrir facsímil")</f>
        <v>Abrir facsímil</v>
      </c>
      <c r="K1907" s="15" t="s">
        <v>22</v>
      </c>
    </row>
    <row r="1908" spans="1:11" ht="42" customHeight="1">
      <c r="A1908" s="4" t="s">
        <v>4831</v>
      </c>
      <c r="B1908" s="5" t="s">
        <v>4832</v>
      </c>
      <c r="C1908" s="5" t="s">
        <v>262</v>
      </c>
      <c r="D1908" s="5" t="s">
        <v>263</v>
      </c>
      <c r="E1908" s="5" t="s">
        <v>226</v>
      </c>
      <c r="F1908" s="9">
        <v>17</v>
      </c>
      <c r="G1908" s="9" t="s">
        <v>819</v>
      </c>
      <c r="H1908" s="5" t="s">
        <v>20</v>
      </c>
      <c r="I1908" s="5" t="s">
        <v>4833</v>
      </c>
      <c r="J1908" s="12" t="str">
        <f>HYPERLINK("https://www.boe.es/gazeta/dias/1804/02/28/pdfs/GMD-C-1804-17.pdf#page=4","Abrir facsímil")</f>
        <v>Abrir facsímil</v>
      </c>
      <c r="K1908" s="15" t="s">
        <v>22</v>
      </c>
    </row>
    <row r="1909" spans="1:11" ht="42" customHeight="1">
      <c r="A1909" s="4" t="s">
        <v>4834</v>
      </c>
      <c r="B1909" s="5" t="s">
        <v>4834</v>
      </c>
      <c r="C1909" s="5" t="s">
        <v>65</v>
      </c>
      <c r="D1909" s="5" t="s">
        <v>66</v>
      </c>
      <c r="E1909" s="5" t="s">
        <v>678</v>
      </c>
      <c r="F1909" s="9">
        <v>104</v>
      </c>
      <c r="G1909" s="9">
        <v>1162</v>
      </c>
      <c r="H1909" s="5" t="s">
        <v>20</v>
      </c>
      <c r="I1909" s="5" t="s">
        <v>4835</v>
      </c>
      <c r="J1909" s="12" t="str">
        <f>HYPERLINK("https://www.boe.es/gazeta/dias/1804/12/28/pdfs/GMD-1804-104.pdf#page=10","Abrir facsímil")</f>
        <v>Abrir facsímil</v>
      </c>
      <c r="K1909" s="15" t="s">
        <v>22</v>
      </c>
    </row>
    <row r="1910" spans="1:11" ht="42" customHeight="1">
      <c r="A1910" s="4" t="s">
        <v>4836</v>
      </c>
      <c r="B1910" s="5" t="s">
        <v>4836</v>
      </c>
      <c r="C1910" s="5" t="s">
        <v>27</v>
      </c>
      <c r="D1910" s="5" t="s">
        <v>28</v>
      </c>
      <c r="E1910" s="5" t="s">
        <v>143</v>
      </c>
      <c r="F1910" s="9">
        <v>87</v>
      </c>
      <c r="G1910" s="9">
        <v>963</v>
      </c>
      <c r="H1910" s="5" t="s">
        <v>20</v>
      </c>
      <c r="I1910" s="5" t="s">
        <v>4837</v>
      </c>
      <c r="J1910" s="12" t="str">
        <f>HYPERLINK("https://www.boe.es/gazeta/dias/1804/10/30/pdfs/GMD-1804-87.pdf#page=7","Abrir facsímil")</f>
        <v>Abrir facsímil</v>
      </c>
      <c r="K1910" s="15" t="s">
        <v>22</v>
      </c>
    </row>
    <row r="1911" spans="1:11" ht="42" customHeight="1">
      <c r="A1911" s="4" t="s">
        <v>4838</v>
      </c>
      <c r="B1911" s="5" t="s">
        <v>4838</v>
      </c>
      <c r="C1911" s="5" t="s">
        <v>65</v>
      </c>
      <c r="D1911" s="5" t="s">
        <v>66</v>
      </c>
      <c r="E1911" s="5" t="s">
        <v>350</v>
      </c>
      <c r="F1911" s="9">
        <v>19</v>
      </c>
      <c r="G1911" s="9">
        <v>209</v>
      </c>
      <c r="H1911" s="5" t="s">
        <v>20</v>
      </c>
      <c r="I1911" s="5" t="s">
        <v>4839</v>
      </c>
      <c r="J1911" s="12" t="str">
        <f>HYPERLINK("https://www.boe.es/gazeta/dias/1804/03/06/pdfs/GMD-1804-19.pdf#page=9","Abrir facsímil")</f>
        <v>Abrir facsímil</v>
      </c>
      <c r="K1911" s="15" t="s">
        <v>22</v>
      </c>
    </row>
    <row r="1912" spans="1:11" ht="42" customHeight="1">
      <c r="A1912" s="4" t="s">
        <v>4840</v>
      </c>
      <c r="B1912" s="5" t="s">
        <v>4840</v>
      </c>
      <c r="C1912" s="5" t="s">
        <v>27</v>
      </c>
      <c r="D1912" s="5" t="s">
        <v>28</v>
      </c>
      <c r="E1912" s="5" t="s">
        <v>23</v>
      </c>
      <c r="F1912" s="9">
        <v>91</v>
      </c>
      <c r="G1912" s="9">
        <v>1009</v>
      </c>
      <c r="H1912" s="5" t="s">
        <v>20</v>
      </c>
      <c r="I1912" s="5" t="s">
        <v>4841</v>
      </c>
      <c r="J1912" s="12" t="str">
        <f>HYPERLINK("https://www.boe.es/gazeta/dias/1804/11/13/pdfs/GMD-1804-91.pdf#page=9","Abrir facsímil")</f>
        <v>Abrir facsímil</v>
      </c>
      <c r="K1912" s="15" t="s">
        <v>22</v>
      </c>
    </row>
    <row r="1913" spans="1:11" ht="42" customHeight="1">
      <c r="A1913" s="4" t="s">
        <v>4842</v>
      </c>
      <c r="B1913" s="5" t="s">
        <v>4842</v>
      </c>
      <c r="C1913" s="5" t="s">
        <v>27</v>
      </c>
      <c r="D1913" s="5" t="s">
        <v>28</v>
      </c>
      <c r="E1913" s="5" t="s">
        <v>320</v>
      </c>
      <c r="F1913" s="9">
        <v>31</v>
      </c>
      <c r="G1913" s="9">
        <v>343</v>
      </c>
      <c r="H1913" s="5" t="s">
        <v>20</v>
      </c>
      <c r="I1913" s="5" t="s">
        <v>4843</v>
      </c>
      <c r="J1913" s="12" t="str">
        <f>HYPERLINK("https://www.boe.es/gazeta/dias/1804/04/17/pdfs/GMD-1804-31.pdf#page=9","Abrir facsímil")</f>
        <v>Abrir facsímil</v>
      </c>
      <c r="K1913" s="15" t="s">
        <v>22</v>
      </c>
    </row>
    <row r="1914" spans="1:11" ht="42" customHeight="1">
      <c r="A1914" s="4" t="s">
        <v>4844</v>
      </c>
      <c r="B1914" s="5" t="s">
        <v>4845</v>
      </c>
      <c r="C1914" s="5" t="s">
        <v>17</v>
      </c>
      <c r="D1914" s="5" t="s">
        <v>18</v>
      </c>
      <c r="E1914" s="5" t="s">
        <v>182</v>
      </c>
      <c r="F1914" s="9">
        <v>21</v>
      </c>
      <c r="G1914" s="9">
        <v>234</v>
      </c>
      <c r="H1914" s="5" t="s">
        <v>20</v>
      </c>
      <c r="I1914" s="5" t="s">
        <v>4846</v>
      </c>
      <c r="J1914" s="12" t="str">
        <f>HYPERLINK("https://www.boe.es/gazeta/dias/1804/03/13/pdfs/GMD-1804-21.pdf#page=10","Abrir facsímil")</f>
        <v>Abrir facsímil</v>
      </c>
      <c r="K1914" s="15" t="s">
        <v>22</v>
      </c>
    </row>
    <row r="1915" spans="1:11" ht="42" customHeight="1">
      <c r="A1915" s="4" t="s">
        <v>4847</v>
      </c>
      <c r="B1915" s="5" t="s">
        <v>4848</v>
      </c>
      <c r="C1915" s="5" t="s">
        <v>65</v>
      </c>
      <c r="D1915" s="5" t="s">
        <v>66</v>
      </c>
      <c r="E1915" s="5" t="s">
        <v>709</v>
      </c>
      <c r="F1915" s="9">
        <v>82</v>
      </c>
      <c r="G1915" s="9">
        <v>906</v>
      </c>
      <c r="H1915" s="5" t="s">
        <v>20</v>
      </c>
      <c r="I1915" s="5" t="s">
        <v>4849</v>
      </c>
      <c r="J1915" s="12" t="str">
        <f>HYPERLINK("https://www.boe.es/gazeta/dias/1804/10/12/pdfs/GMD-1804-82.pdf#page=8","Abrir facsímil")</f>
        <v>Abrir facsímil</v>
      </c>
      <c r="K1915" s="15" t="s">
        <v>22</v>
      </c>
    </row>
    <row r="1916" spans="1:11" ht="42" customHeight="1">
      <c r="A1916" s="4" t="s">
        <v>4850</v>
      </c>
      <c r="B1916" s="5" t="s">
        <v>4851</v>
      </c>
      <c r="C1916" s="5" t="s">
        <v>17</v>
      </c>
      <c r="D1916" s="5" t="s">
        <v>18</v>
      </c>
      <c r="E1916" s="5" t="s">
        <v>547</v>
      </c>
      <c r="F1916" s="9">
        <v>68</v>
      </c>
      <c r="G1916" s="9">
        <v>763</v>
      </c>
      <c r="H1916" s="5" t="s">
        <v>20</v>
      </c>
      <c r="I1916" s="5" t="s">
        <v>4852</v>
      </c>
      <c r="J1916" s="12" t="str">
        <f>HYPERLINK("https://www.boe.es/gazeta/dias/1804/08/24/pdfs/GMD-1804-68.pdf#page=9","Abrir facsímil")</f>
        <v>Abrir facsímil</v>
      </c>
      <c r="K1916" s="15" t="s">
        <v>22</v>
      </c>
    </row>
    <row r="1917" spans="1:11" ht="42" customHeight="1">
      <c r="A1917" s="4" t="s">
        <v>4853</v>
      </c>
      <c r="B1917" s="5" t="s">
        <v>4854</v>
      </c>
      <c r="C1917" s="5" t="s">
        <v>65</v>
      </c>
      <c r="D1917" s="5" t="s">
        <v>66</v>
      </c>
      <c r="E1917" s="5" t="s">
        <v>147</v>
      </c>
      <c r="F1917" s="9">
        <v>77</v>
      </c>
      <c r="G1917" s="9">
        <v>858</v>
      </c>
      <c r="H1917" s="5" t="s">
        <v>20</v>
      </c>
      <c r="I1917" s="5" t="s">
        <v>4855</v>
      </c>
      <c r="J1917" s="12" t="str">
        <f>HYPERLINK("https://www.boe.es/gazeta/dias/1804/09/25/pdfs/GMD-1804-77.pdf#page=8","Abrir facsímil")</f>
        <v>Abrir facsímil</v>
      </c>
      <c r="K1917" s="15" t="s">
        <v>22</v>
      </c>
    </row>
    <row r="1918" spans="1:11" ht="42" customHeight="1">
      <c r="A1918" s="4" t="s">
        <v>4856</v>
      </c>
      <c r="B1918" s="5" t="s">
        <v>4857</v>
      </c>
      <c r="C1918" s="5" t="s">
        <v>85</v>
      </c>
      <c r="D1918" s="5" t="s">
        <v>86</v>
      </c>
      <c r="E1918" s="5" t="s">
        <v>163</v>
      </c>
      <c r="F1918" s="9">
        <v>70</v>
      </c>
      <c r="G1918" s="9">
        <v>785</v>
      </c>
      <c r="H1918" s="5" t="s">
        <v>20</v>
      </c>
      <c r="I1918" s="5" t="s">
        <v>4858</v>
      </c>
      <c r="J1918" s="12" t="str">
        <f>HYPERLINK("https://www.boe.es/gazeta/dias/1804/08/31/pdfs/GMD-1804-70.pdf#page=7","Abrir facsímil")</f>
        <v>Abrir facsímil</v>
      </c>
      <c r="K1918" s="15" t="s">
        <v>22</v>
      </c>
    </row>
    <row r="1919" spans="1:11" ht="42" customHeight="1">
      <c r="A1919" s="4" t="s">
        <v>4859</v>
      </c>
      <c r="B1919" s="5" t="s">
        <v>4860</v>
      </c>
      <c r="C1919" s="5" t="s">
        <v>27</v>
      </c>
      <c r="D1919" s="5" t="s">
        <v>28</v>
      </c>
      <c r="E1919" s="5" t="s">
        <v>398</v>
      </c>
      <c r="F1919" s="9">
        <v>22</v>
      </c>
      <c r="G1919" s="9">
        <v>244</v>
      </c>
      <c r="H1919" s="5" t="s">
        <v>20</v>
      </c>
      <c r="I1919" s="5" t="s">
        <v>4861</v>
      </c>
      <c r="J1919" s="12" t="str">
        <f>HYPERLINK("https://www.boe.es/gazeta/dias/1804/03/16/pdfs/GMD-1804-22.pdf#page=8","Abrir facsímil")</f>
        <v>Abrir facsímil</v>
      </c>
      <c r="K1919" s="15" t="s">
        <v>22</v>
      </c>
    </row>
    <row r="1920" spans="1:11" ht="42" customHeight="1">
      <c r="A1920" s="4" t="s">
        <v>4862</v>
      </c>
      <c r="B1920" s="5" t="s">
        <v>4863</v>
      </c>
      <c r="C1920" s="5" t="s">
        <v>65</v>
      </c>
      <c r="D1920" s="5" t="s">
        <v>66</v>
      </c>
      <c r="E1920" s="5" t="s">
        <v>427</v>
      </c>
      <c r="F1920" s="9">
        <v>80</v>
      </c>
      <c r="G1920" s="9">
        <v>889</v>
      </c>
      <c r="H1920" s="5" t="s">
        <v>20</v>
      </c>
      <c r="I1920" s="5" t="s">
        <v>4864</v>
      </c>
      <c r="J1920" s="12" t="str">
        <f>HYPERLINK("https://www.boe.es/gazeta/dias/1804/10/05/pdfs/GMD-1804-80.pdf#page=7","Abrir facsímil")</f>
        <v>Abrir facsímil</v>
      </c>
      <c r="K1920" s="15" t="s">
        <v>22</v>
      </c>
    </row>
    <row r="1921" spans="1:11" ht="42" customHeight="1">
      <c r="A1921" s="4" t="s">
        <v>4865</v>
      </c>
      <c r="B1921" s="5" t="s">
        <v>4866</v>
      </c>
      <c r="C1921" s="5" t="s">
        <v>85</v>
      </c>
      <c r="D1921" s="5" t="s">
        <v>86</v>
      </c>
      <c r="E1921" s="5" t="s">
        <v>453</v>
      </c>
      <c r="F1921" s="9">
        <v>33</v>
      </c>
      <c r="G1921" s="9">
        <v>369</v>
      </c>
      <c r="H1921" s="5" t="s">
        <v>20</v>
      </c>
      <c r="I1921" s="5" t="s">
        <v>4867</v>
      </c>
      <c r="J1921" s="12" t="str">
        <f>HYPERLINK("https://www.boe.es/gazeta/dias/1804/04/24/pdfs/GMD-1804-33.pdf#page=11","Abrir facsímil")</f>
        <v>Abrir facsímil</v>
      </c>
      <c r="K1921" s="15" t="s">
        <v>22</v>
      </c>
    </row>
    <row r="1922" spans="1:11" ht="42" customHeight="1">
      <c r="A1922" s="4" t="s">
        <v>4868</v>
      </c>
      <c r="B1922" s="5" t="s">
        <v>4869</v>
      </c>
      <c r="C1922" s="5" t="s">
        <v>65</v>
      </c>
      <c r="D1922" s="5" t="s">
        <v>66</v>
      </c>
      <c r="E1922" s="5" t="s">
        <v>226</v>
      </c>
      <c r="F1922" s="9">
        <v>17</v>
      </c>
      <c r="G1922" s="9">
        <v>186</v>
      </c>
      <c r="H1922" s="5" t="s">
        <v>20</v>
      </c>
      <c r="I1922" s="5" t="s">
        <v>4870</v>
      </c>
      <c r="J1922" s="12" t="str">
        <f>HYPERLINK("https://www.boe.es/gazeta/dias/1804/02/28/pdfs/GMD-1804-17.pdf#page=6","Abrir facsímil")</f>
        <v>Abrir facsímil</v>
      </c>
      <c r="K1922" s="15" t="s">
        <v>22</v>
      </c>
    </row>
    <row r="1923" spans="1:11" ht="42" customHeight="1">
      <c r="A1923" s="4" t="s">
        <v>4871</v>
      </c>
      <c r="B1923" s="5" t="s">
        <v>4872</v>
      </c>
      <c r="C1923" s="5" t="s">
        <v>65</v>
      </c>
      <c r="D1923" s="5" t="s">
        <v>66</v>
      </c>
      <c r="E1923" s="5" t="s">
        <v>178</v>
      </c>
      <c r="F1923" s="9">
        <v>20</v>
      </c>
      <c r="G1923" s="9">
        <v>220</v>
      </c>
      <c r="H1923" s="5" t="s">
        <v>20</v>
      </c>
      <c r="I1923" s="5" t="s">
        <v>4873</v>
      </c>
      <c r="J1923" s="12" t="str">
        <f>HYPERLINK("https://www.boe.es/gazeta/dias/1804/03/09/pdfs/GMD-1804-20.pdf#page=8","Abrir facsímil")</f>
        <v>Abrir facsímil</v>
      </c>
      <c r="K1923" s="15" t="s">
        <v>22</v>
      </c>
    </row>
    <row r="1924" spans="1:11" ht="42" customHeight="1">
      <c r="A1924" s="4" t="s">
        <v>4874</v>
      </c>
      <c r="B1924" s="5" t="s">
        <v>4875</v>
      </c>
      <c r="C1924" s="5" t="s">
        <v>27</v>
      </c>
      <c r="D1924" s="5" t="s">
        <v>28</v>
      </c>
      <c r="E1924" s="5" t="s">
        <v>245</v>
      </c>
      <c r="F1924" s="9">
        <v>6</v>
      </c>
      <c r="G1924" s="9">
        <v>58</v>
      </c>
      <c r="H1924" s="5" t="s">
        <v>20</v>
      </c>
      <c r="I1924" s="5" t="s">
        <v>4876</v>
      </c>
      <c r="J1924" s="12" t="str">
        <f>HYPERLINK("https://www.boe.es/gazeta/dias/1804/01/20/pdfs/GMD-1804-6.pdf#page=10","Abrir facsímil")</f>
        <v>Abrir facsímil</v>
      </c>
      <c r="K1924" s="15" t="s">
        <v>22</v>
      </c>
    </row>
    <row r="1925" spans="1:11" ht="42" customHeight="1">
      <c r="A1925" s="4" t="s">
        <v>4877</v>
      </c>
      <c r="B1925" s="5" t="s">
        <v>4878</v>
      </c>
      <c r="C1925" s="5" t="s">
        <v>85</v>
      </c>
      <c r="D1925" s="5" t="s">
        <v>86</v>
      </c>
      <c r="E1925" s="5" t="s">
        <v>199</v>
      </c>
      <c r="F1925" s="9">
        <v>46</v>
      </c>
      <c r="G1925" s="9">
        <v>514</v>
      </c>
      <c r="H1925" s="5" t="s">
        <v>20</v>
      </c>
      <c r="I1925" s="5" t="s">
        <v>4879</v>
      </c>
      <c r="J1925" s="12" t="str">
        <f>HYPERLINK("https://www.boe.es/gazeta/dias/1804/06/08/pdfs/GMD-1804-46.pdf#page=12","Abrir facsímil")</f>
        <v>Abrir facsímil</v>
      </c>
      <c r="K1925" s="15" t="s">
        <v>22</v>
      </c>
    </row>
    <row r="1926" spans="1:11" ht="42" customHeight="1">
      <c r="A1926" s="4" t="s">
        <v>4880</v>
      </c>
      <c r="B1926" s="5" t="s">
        <v>4881</v>
      </c>
      <c r="C1926" s="5" t="s">
        <v>17</v>
      </c>
      <c r="D1926" s="5" t="s">
        <v>18</v>
      </c>
      <c r="E1926" s="5" t="s">
        <v>421</v>
      </c>
      <c r="F1926" s="9">
        <v>47</v>
      </c>
      <c r="G1926" s="9">
        <v>528</v>
      </c>
      <c r="H1926" s="5" t="s">
        <v>20</v>
      </c>
      <c r="I1926" s="5" t="s">
        <v>4882</v>
      </c>
      <c r="J1926" s="12" t="str">
        <f>HYPERLINK("https://www.boe.es/gazeta/dias/1804/06/12/pdfs/GMD-1804-47.pdf#page=10","Abrir facsímil")</f>
        <v>Abrir facsímil</v>
      </c>
      <c r="K1926" s="15" t="s">
        <v>22</v>
      </c>
    </row>
    <row r="1927" spans="1:11" ht="42" customHeight="1">
      <c r="A1927" s="4" t="s">
        <v>4883</v>
      </c>
      <c r="B1927" s="5" t="s">
        <v>4884</v>
      </c>
      <c r="C1927" s="5" t="s">
        <v>65</v>
      </c>
      <c r="D1927" s="5" t="s">
        <v>66</v>
      </c>
      <c r="E1927" s="5" t="s">
        <v>67</v>
      </c>
      <c r="F1927" s="9">
        <v>59</v>
      </c>
      <c r="G1927" s="9">
        <v>652</v>
      </c>
      <c r="H1927" s="5" t="s">
        <v>20</v>
      </c>
      <c r="I1927" s="5" t="s">
        <v>4885</v>
      </c>
      <c r="J1927" s="12" t="str">
        <f>HYPERLINK("https://www.boe.es/gazeta/dias/1804/07/24/pdfs/GMD-1804-59.pdf#page=6","Abrir facsímil")</f>
        <v>Abrir facsímil</v>
      </c>
      <c r="K1927" s="15" t="s">
        <v>22</v>
      </c>
    </row>
    <row r="1928" spans="1:11" ht="42" customHeight="1">
      <c r="A1928" s="4" t="s">
        <v>4886</v>
      </c>
      <c r="B1928" s="5" t="s">
        <v>4887</v>
      </c>
      <c r="C1928" s="5" t="s">
        <v>85</v>
      </c>
      <c r="D1928" s="5" t="s">
        <v>86</v>
      </c>
      <c r="E1928" s="5" t="s">
        <v>109</v>
      </c>
      <c r="F1928" s="9">
        <v>35</v>
      </c>
      <c r="G1928" s="9">
        <v>390</v>
      </c>
      <c r="H1928" s="5" t="s">
        <v>20</v>
      </c>
      <c r="I1928" s="5" t="s">
        <v>4888</v>
      </c>
      <c r="J1928" s="12" t="str">
        <f>HYPERLINK("https://www.boe.es/gazeta/dias/1804/05/01/pdfs/GMD-1804-35.pdf#page=12","Abrir facsímil")</f>
        <v>Abrir facsímil</v>
      </c>
      <c r="K1928" s="15" t="s">
        <v>22</v>
      </c>
    </row>
    <row r="1929" spans="1:11" ht="42" customHeight="1">
      <c r="A1929" s="4" t="s">
        <v>4889</v>
      </c>
      <c r="B1929" s="5" t="s">
        <v>4890</v>
      </c>
      <c r="C1929" s="5" t="s">
        <v>27</v>
      </c>
      <c r="D1929" s="5" t="s">
        <v>28</v>
      </c>
      <c r="E1929" s="5" t="s">
        <v>147</v>
      </c>
      <c r="F1929" s="9">
        <v>77</v>
      </c>
      <c r="G1929" s="9">
        <v>858</v>
      </c>
      <c r="H1929" s="5" t="s">
        <v>20</v>
      </c>
      <c r="I1929" s="5" t="s">
        <v>4891</v>
      </c>
      <c r="J1929" s="12" t="str">
        <f>HYPERLINK("https://www.boe.es/gazeta/dias/1804/09/25/pdfs/GMD-1804-77.pdf#page=8","Abrir facsímil")</f>
        <v>Abrir facsímil</v>
      </c>
      <c r="K1929" s="15" t="s">
        <v>22</v>
      </c>
    </row>
    <row r="1930" spans="1:11" ht="42" customHeight="1">
      <c r="A1930" s="4" t="s">
        <v>4892</v>
      </c>
      <c r="B1930" s="5" t="s">
        <v>4893</v>
      </c>
      <c r="C1930" s="5" t="s">
        <v>27</v>
      </c>
      <c r="D1930" s="5" t="s">
        <v>28</v>
      </c>
      <c r="E1930" s="5" t="s">
        <v>103</v>
      </c>
      <c r="F1930" s="9">
        <v>11</v>
      </c>
      <c r="G1930" s="9">
        <v>123</v>
      </c>
      <c r="H1930" s="5" t="s">
        <v>20</v>
      </c>
      <c r="I1930" s="5" t="s">
        <v>4894</v>
      </c>
      <c r="J1930" s="12" t="str">
        <f>HYPERLINK("https://www.boe.es/gazeta/dias/1804/02/07/pdfs/GMD-1804-11.pdf#page=11","Abrir facsímil")</f>
        <v>Abrir facsímil</v>
      </c>
      <c r="K1930" s="15" t="s">
        <v>22</v>
      </c>
    </row>
    <row r="1931" spans="1:11" ht="42" customHeight="1">
      <c r="A1931" s="4" t="s">
        <v>4895</v>
      </c>
      <c r="B1931" s="5" t="s">
        <v>4896</v>
      </c>
      <c r="C1931" s="5" t="s">
        <v>65</v>
      </c>
      <c r="D1931" s="5" t="s">
        <v>66</v>
      </c>
      <c r="E1931" s="5" t="s">
        <v>23</v>
      </c>
      <c r="F1931" s="9">
        <v>91</v>
      </c>
      <c r="G1931" s="9">
        <v>1009</v>
      </c>
      <c r="H1931" s="5" t="s">
        <v>20</v>
      </c>
      <c r="I1931" s="5" t="s">
        <v>4897</v>
      </c>
      <c r="J1931" s="12" t="str">
        <f>HYPERLINK("https://www.boe.es/gazeta/dias/1804/11/13/pdfs/GMD-1804-91.pdf#page=9","Abrir facsímil")</f>
        <v>Abrir facsímil</v>
      </c>
      <c r="K1931" s="15" t="s">
        <v>22</v>
      </c>
    </row>
    <row r="1932" spans="1:11" ht="42" customHeight="1">
      <c r="A1932" s="4" t="s">
        <v>4898</v>
      </c>
      <c r="B1932" s="5" t="s">
        <v>4899</v>
      </c>
      <c r="C1932" s="5" t="s">
        <v>85</v>
      </c>
      <c r="D1932" s="5" t="s">
        <v>86</v>
      </c>
      <c r="E1932" s="5" t="s">
        <v>19</v>
      </c>
      <c r="F1932" s="9">
        <v>60</v>
      </c>
      <c r="G1932" s="9">
        <v>668</v>
      </c>
      <c r="H1932" s="5" t="s">
        <v>20</v>
      </c>
      <c r="I1932" s="5" t="s">
        <v>4900</v>
      </c>
      <c r="J1932" s="12" t="str">
        <f>HYPERLINK("https://www.boe.es/gazeta/dias/1804/07/27/pdfs/GMD-1804-60.pdf#page=10","Abrir facsímil")</f>
        <v>Abrir facsímil</v>
      </c>
      <c r="K1932" s="15" t="s">
        <v>22</v>
      </c>
    </row>
    <row r="1933" spans="1:11" ht="42" customHeight="1">
      <c r="A1933" s="4" t="s">
        <v>4901</v>
      </c>
      <c r="B1933" s="5" t="s">
        <v>4902</v>
      </c>
      <c r="C1933" s="5" t="s">
        <v>27</v>
      </c>
      <c r="D1933" s="5" t="s">
        <v>28</v>
      </c>
      <c r="E1933" s="5" t="s">
        <v>147</v>
      </c>
      <c r="F1933" s="9">
        <v>77</v>
      </c>
      <c r="G1933" s="9">
        <v>859</v>
      </c>
      <c r="H1933" s="5" t="s">
        <v>20</v>
      </c>
      <c r="I1933" s="5" t="s">
        <v>4903</v>
      </c>
      <c r="J1933" s="12" t="str">
        <f>HYPERLINK("https://www.boe.es/gazeta/dias/1804/09/25/pdfs/GMD-1804-77.pdf#page=9","Abrir facsímil")</f>
        <v>Abrir facsímil</v>
      </c>
      <c r="K1933" s="15" t="s">
        <v>22</v>
      </c>
    </row>
    <row r="1934" spans="1:11" ht="42" customHeight="1">
      <c r="A1934" s="4" t="s">
        <v>4904</v>
      </c>
      <c r="B1934" s="5" t="s">
        <v>4905</v>
      </c>
      <c r="C1934" s="5" t="s">
        <v>65</v>
      </c>
      <c r="D1934" s="5" t="s">
        <v>66</v>
      </c>
      <c r="E1934" s="5" t="s">
        <v>515</v>
      </c>
      <c r="F1934" s="9">
        <v>102</v>
      </c>
      <c r="G1934" s="9">
        <v>1139</v>
      </c>
      <c r="H1934" s="5" t="s">
        <v>20</v>
      </c>
      <c r="I1934" s="5" t="s">
        <v>4906</v>
      </c>
      <c r="J1934" s="12" t="str">
        <f>HYPERLINK("https://www.boe.es/gazeta/dias/1804/12/21/pdfs/GMD-1804-102.pdf#page=7","Abrir facsímil")</f>
        <v>Abrir facsímil</v>
      </c>
      <c r="K1934" s="15" t="s">
        <v>22</v>
      </c>
    </row>
    <row r="1935" spans="1:11" ht="42" customHeight="1">
      <c r="A1935" s="4" t="s">
        <v>4907</v>
      </c>
      <c r="B1935" s="5" t="s">
        <v>4908</v>
      </c>
      <c r="C1935" s="5" t="s">
        <v>17</v>
      </c>
      <c r="D1935" s="5" t="s">
        <v>18</v>
      </c>
      <c r="E1935" s="5" t="s">
        <v>199</v>
      </c>
      <c r="F1935" s="9">
        <v>46</v>
      </c>
      <c r="G1935" s="9">
        <v>513</v>
      </c>
      <c r="H1935" s="5" t="s">
        <v>20</v>
      </c>
      <c r="I1935" s="5" t="s">
        <v>4909</v>
      </c>
      <c r="J1935" s="12" t="str">
        <f>HYPERLINK("https://www.boe.es/gazeta/dias/1804/06/08/pdfs/GMD-1804-46.pdf#page=11","Abrir facsímil")</f>
        <v>Abrir facsímil</v>
      </c>
      <c r="K1935" s="15" t="s">
        <v>22</v>
      </c>
    </row>
    <row r="1936" spans="1:11" ht="42" customHeight="1">
      <c r="A1936" s="4" t="s">
        <v>4910</v>
      </c>
      <c r="B1936" s="5" t="s">
        <v>4911</v>
      </c>
      <c r="C1936" s="5" t="s">
        <v>27</v>
      </c>
      <c r="D1936" s="5" t="s">
        <v>28</v>
      </c>
      <c r="E1936" s="5" t="s">
        <v>37</v>
      </c>
      <c r="F1936" s="9">
        <v>29</v>
      </c>
      <c r="G1936" s="9">
        <v>319</v>
      </c>
      <c r="H1936" s="5" t="s">
        <v>20</v>
      </c>
      <c r="I1936" s="5" t="s">
        <v>4912</v>
      </c>
      <c r="J1936" s="12" t="str">
        <f>HYPERLINK("https://www.boe.es/gazeta/dias/1804/04/10/pdfs/GMD-1804-29.pdf#page=9","Abrir facsímil")</f>
        <v>Abrir facsímil</v>
      </c>
      <c r="K1936" s="15" t="s">
        <v>22</v>
      </c>
    </row>
    <row r="1937" spans="1:11" ht="42" customHeight="1">
      <c r="A1937" s="4" t="s">
        <v>4913</v>
      </c>
      <c r="B1937" s="5" t="s">
        <v>4914</v>
      </c>
      <c r="C1937" s="5" t="s">
        <v>27</v>
      </c>
      <c r="D1937" s="5" t="s">
        <v>28</v>
      </c>
      <c r="E1937" s="5" t="s">
        <v>106</v>
      </c>
      <c r="F1937" s="9">
        <v>34</v>
      </c>
      <c r="G1937" s="9">
        <v>377</v>
      </c>
      <c r="H1937" s="5" t="s">
        <v>20</v>
      </c>
      <c r="I1937" s="5" t="s">
        <v>4915</v>
      </c>
      <c r="J1937" s="12" t="str">
        <f>HYPERLINK("https://www.boe.es/gazeta/dias/1804/04/27/pdfs/GMD-1804-34.pdf#page=7","Abrir facsímil")</f>
        <v>Abrir facsímil</v>
      </c>
      <c r="K1937" s="15" t="s">
        <v>22</v>
      </c>
    </row>
    <row r="1938" spans="1:11" ht="42" customHeight="1">
      <c r="A1938" s="4" t="s">
        <v>4913</v>
      </c>
      <c r="B1938" s="5" t="s">
        <v>4914</v>
      </c>
      <c r="C1938" s="5" t="s">
        <v>27</v>
      </c>
      <c r="D1938" s="5" t="s">
        <v>28</v>
      </c>
      <c r="E1938" s="5" t="s">
        <v>1179</v>
      </c>
      <c r="F1938" s="9">
        <v>43</v>
      </c>
      <c r="G1938" s="9">
        <v>481</v>
      </c>
      <c r="H1938" s="5" t="s">
        <v>20</v>
      </c>
      <c r="I1938" s="5" t="s">
        <v>4916</v>
      </c>
      <c r="J1938" s="12" t="str">
        <f>HYPERLINK("https://www.boe.es/gazeta/dias/1804/05/29/pdfs/GMD-1804-43.pdf#page=7","Abrir facsímil")</f>
        <v>Abrir facsímil</v>
      </c>
      <c r="K1938" s="15" t="s">
        <v>22</v>
      </c>
    </row>
    <row r="1939" spans="1:11" ht="42" customHeight="1">
      <c r="A1939" s="4" t="s">
        <v>4913</v>
      </c>
      <c r="B1939" s="5" t="s">
        <v>4914</v>
      </c>
      <c r="C1939" s="5" t="s">
        <v>120</v>
      </c>
      <c r="D1939" s="5" t="s">
        <v>121</v>
      </c>
      <c r="E1939" s="5" t="s">
        <v>33</v>
      </c>
      <c r="F1939" s="9">
        <v>48</v>
      </c>
      <c r="G1939" s="9" t="s">
        <v>122</v>
      </c>
      <c r="H1939" s="5" t="s">
        <v>20</v>
      </c>
      <c r="I1939" s="5" t="s">
        <v>4917</v>
      </c>
      <c r="J1939" s="12" t="str">
        <f>HYPERLINK("https://www.boe.es/gazeta/dias/1804/06/15/pdfs/GMD-C-1804-48.pdf#page=3","Abrir facsímil")</f>
        <v>Abrir facsímil</v>
      </c>
      <c r="K1939" s="15" t="s">
        <v>22</v>
      </c>
    </row>
    <row r="1940" spans="1:11" ht="42" customHeight="1">
      <c r="A1940" s="4" t="s">
        <v>4913</v>
      </c>
      <c r="B1940" s="5" t="s">
        <v>4914</v>
      </c>
      <c r="C1940" s="5" t="s">
        <v>27</v>
      </c>
      <c r="D1940" s="5" t="s">
        <v>28</v>
      </c>
      <c r="E1940" s="5" t="s">
        <v>67</v>
      </c>
      <c r="F1940" s="9">
        <v>59</v>
      </c>
      <c r="G1940" s="9">
        <v>656</v>
      </c>
      <c r="H1940" s="5" t="s">
        <v>20</v>
      </c>
      <c r="I1940" s="5" t="s">
        <v>4918</v>
      </c>
      <c r="J1940" s="12" t="str">
        <f>HYPERLINK("https://www.boe.es/gazeta/dias/1804/07/24/pdfs/GMD-1804-59.pdf#page=10","Abrir facsímil")</f>
        <v>Abrir facsímil</v>
      </c>
      <c r="K1940" s="15" t="s">
        <v>22</v>
      </c>
    </row>
    <row r="1941" spans="1:11" ht="42" customHeight="1">
      <c r="A1941" s="4" t="s">
        <v>4913</v>
      </c>
      <c r="B1941" s="5" t="s">
        <v>4914</v>
      </c>
      <c r="C1941" s="5" t="s">
        <v>85</v>
      </c>
      <c r="D1941" s="5" t="s">
        <v>86</v>
      </c>
      <c r="E1941" s="5" t="s">
        <v>241</v>
      </c>
      <c r="F1941" s="9">
        <v>71</v>
      </c>
      <c r="G1941" s="9">
        <v>794</v>
      </c>
      <c r="H1941" s="5" t="s">
        <v>20</v>
      </c>
      <c r="I1941" s="5" t="s">
        <v>4919</v>
      </c>
      <c r="J1941" s="12" t="str">
        <f>HYPERLINK("https://www.boe.es/gazeta/dias/1804/09/04/pdfs/GMD-1804-71.pdf#page=8","Abrir facsímil")</f>
        <v>Abrir facsímil</v>
      </c>
      <c r="K1941" s="15" t="s">
        <v>22</v>
      </c>
    </row>
    <row r="1942" spans="1:11" ht="42" customHeight="1">
      <c r="A1942" s="4" t="s">
        <v>4913</v>
      </c>
      <c r="B1942" s="5" t="s">
        <v>4914</v>
      </c>
      <c r="C1942" s="5" t="s">
        <v>27</v>
      </c>
      <c r="D1942" s="5" t="s">
        <v>28</v>
      </c>
      <c r="E1942" s="5" t="s">
        <v>91</v>
      </c>
      <c r="F1942" s="9">
        <v>72</v>
      </c>
      <c r="G1942" s="9">
        <v>809</v>
      </c>
      <c r="H1942" s="5" t="s">
        <v>20</v>
      </c>
      <c r="I1942" s="5" t="s">
        <v>4920</v>
      </c>
      <c r="J1942" s="12" t="str">
        <f>HYPERLINK("https://www.boe.es/gazeta/dias/1804/09/07/pdfs/GMD-1804-72.pdf#page=11","Abrir facsímil")</f>
        <v>Abrir facsímil</v>
      </c>
      <c r="K1942" s="15" t="s">
        <v>22</v>
      </c>
    </row>
    <row r="1943" spans="1:11" ht="42" customHeight="1">
      <c r="A1943" s="4" t="s">
        <v>4913</v>
      </c>
      <c r="B1943" s="5" t="s">
        <v>4914</v>
      </c>
      <c r="C1943" s="5" t="s">
        <v>27</v>
      </c>
      <c r="D1943" s="5" t="s">
        <v>28</v>
      </c>
      <c r="E1943" s="5" t="s">
        <v>637</v>
      </c>
      <c r="F1943" s="9">
        <v>74</v>
      </c>
      <c r="G1943" s="9">
        <v>833</v>
      </c>
      <c r="H1943" s="5" t="s">
        <v>20</v>
      </c>
      <c r="I1943" s="5" t="s">
        <v>4921</v>
      </c>
      <c r="J1943" s="12" t="str">
        <f>HYPERLINK("https://www.boe.es/gazeta/dias/1804/09/14/pdfs/GMD-1804-74.pdf#page=11","Abrir facsímil")</f>
        <v>Abrir facsímil</v>
      </c>
      <c r="K1943" s="15" t="s">
        <v>22</v>
      </c>
    </row>
    <row r="1944" spans="1:11" ht="42" customHeight="1">
      <c r="A1944" s="4" t="s">
        <v>4913</v>
      </c>
      <c r="B1944" s="5" t="s">
        <v>4914</v>
      </c>
      <c r="C1944" s="5" t="s">
        <v>27</v>
      </c>
      <c r="D1944" s="5" t="s">
        <v>28</v>
      </c>
      <c r="E1944" s="5" t="s">
        <v>308</v>
      </c>
      <c r="F1944" s="9">
        <v>96</v>
      </c>
      <c r="G1944" s="9">
        <v>1072</v>
      </c>
      <c r="H1944" s="5" t="s">
        <v>20</v>
      </c>
      <c r="I1944" s="5" t="s">
        <v>4922</v>
      </c>
      <c r="J1944" s="12" t="str">
        <f>HYPERLINK("https://www.boe.es/gazeta/dias/1804/11/30/pdfs/GMD-1804-96.pdf#page=12","Abrir facsímil")</f>
        <v>Abrir facsímil</v>
      </c>
      <c r="K1944" s="15" t="s">
        <v>22</v>
      </c>
    </row>
    <row r="1945" spans="1:11" ht="42" customHeight="1">
      <c r="A1945" s="4" t="s">
        <v>4923</v>
      </c>
      <c r="B1945" s="5" t="s">
        <v>4924</v>
      </c>
      <c r="C1945" s="5" t="s">
        <v>17</v>
      </c>
      <c r="D1945" s="5" t="s">
        <v>18</v>
      </c>
      <c r="E1945" s="5" t="s">
        <v>704</v>
      </c>
      <c r="F1945" s="9">
        <v>36</v>
      </c>
      <c r="G1945" s="9">
        <v>399</v>
      </c>
      <c r="H1945" s="5" t="s">
        <v>20</v>
      </c>
      <c r="I1945" s="5" t="s">
        <v>4925</v>
      </c>
      <c r="J1945" s="12" t="str">
        <f>HYPERLINK("https://www.boe.es/gazeta/dias/1804/05/04/pdfs/GMD-1804-36.pdf#page=9","Abrir facsímil")</f>
        <v>Abrir facsímil</v>
      </c>
      <c r="K1945" s="15" t="s">
        <v>22</v>
      </c>
    </row>
    <row r="1946" spans="1:11" ht="42" customHeight="1">
      <c r="A1946" s="4" t="s">
        <v>4926</v>
      </c>
      <c r="B1946" s="5" t="s">
        <v>4927</v>
      </c>
      <c r="C1946" s="5" t="s">
        <v>65</v>
      </c>
      <c r="D1946" s="5" t="s">
        <v>66</v>
      </c>
      <c r="E1946" s="5" t="s">
        <v>109</v>
      </c>
      <c r="F1946" s="9">
        <v>35</v>
      </c>
      <c r="G1946" s="9">
        <v>389</v>
      </c>
      <c r="H1946" s="5" t="s">
        <v>20</v>
      </c>
      <c r="I1946" s="5" t="s">
        <v>4928</v>
      </c>
      <c r="J1946" s="12" t="str">
        <f>HYPERLINK("https://www.boe.es/gazeta/dias/1804/05/01/pdfs/GMD-1804-35.pdf#page=11","Abrir facsímil")</f>
        <v>Abrir facsímil</v>
      </c>
      <c r="K1946" s="15" t="s">
        <v>22</v>
      </c>
    </row>
    <row r="1947" spans="1:11" ht="42" customHeight="1">
      <c r="A1947" s="4" t="s">
        <v>4929</v>
      </c>
      <c r="B1947" s="5" t="s">
        <v>4930</v>
      </c>
      <c r="C1947" s="5" t="s">
        <v>17</v>
      </c>
      <c r="D1947" s="5" t="s">
        <v>18</v>
      </c>
      <c r="E1947" s="5" t="s">
        <v>111</v>
      </c>
      <c r="F1947" s="9">
        <v>40</v>
      </c>
      <c r="G1947" s="9">
        <v>448</v>
      </c>
      <c r="H1947" s="5" t="s">
        <v>20</v>
      </c>
      <c r="I1947" s="5" t="s">
        <v>4931</v>
      </c>
      <c r="J1947" s="12" t="str">
        <f>HYPERLINK("https://www.boe.es/gazeta/dias/1804/05/18/pdfs/GMD-1804-40.pdf#page=10","Abrir facsímil")</f>
        <v>Abrir facsímil</v>
      </c>
      <c r="K1947" s="15" t="s">
        <v>22</v>
      </c>
    </row>
    <row r="1948" spans="1:11" ht="42" customHeight="1">
      <c r="A1948" s="4" t="s">
        <v>4929</v>
      </c>
      <c r="B1948" s="5" t="s">
        <v>4930</v>
      </c>
      <c r="C1948" s="5" t="s">
        <v>120</v>
      </c>
      <c r="D1948" s="5" t="s">
        <v>121</v>
      </c>
      <c r="E1948" s="5" t="s">
        <v>33</v>
      </c>
      <c r="F1948" s="9">
        <v>48</v>
      </c>
      <c r="G1948" s="9" t="s">
        <v>122</v>
      </c>
      <c r="H1948" s="5" t="s">
        <v>20</v>
      </c>
      <c r="I1948" s="5" t="s">
        <v>4932</v>
      </c>
      <c r="J1948" s="12" t="str">
        <f>HYPERLINK("https://www.boe.es/gazeta/dias/1804/06/15/pdfs/GMD-C-1804-48.pdf#page=3","Abrir facsímil")</f>
        <v>Abrir facsímil</v>
      </c>
      <c r="K1948" s="15" t="s">
        <v>22</v>
      </c>
    </row>
    <row r="1949" spans="1:11" ht="42" customHeight="1">
      <c r="A1949" s="4" t="s">
        <v>4929</v>
      </c>
      <c r="B1949" s="5" t="s">
        <v>4930</v>
      </c>
      <c r="C1949" s="5" t="s">
        <v>27</v>
      </c>
      <c r="D1949" s="5" t="s">
        <v>28</v>
      </c>
      <c r="E1949" s="5" t="s">
        <v>143</v>
      </c>
      <c r="F1949" s="9">
        <v>87</v>
      </c>
      <c r="G1949" s="9">
        <v>963</v>
      </c>
      <c r="H1949" s="5" t="s">
        <v>20</v>
      </c>
      <c r="I1949" s="5" t="s">
        <v>4933</v>
      </c>
      <c r="J1949" s="12" t="str">
        <f>HYPERLINK("https://www.boe.es/gazeta/dias/1804/10/30/pdfs/GMD-1804-87.pdf#page=7","Abrir facsímil")</f>
        <v>Abrir facsímil</v>
      </c>
      <c r="K1949" s="15" t="s">
        <v>22</v>
      </c>
    </row>
    <row r="1950" spans="1:11" ht="42" customHeight="1">
      <c r="A1950" s="4" t="s">
        <v>4934</v>
      </c>
      <c r="B1950" s="5" t="s">
        <v>4935</v>
      </c>
      <c r="C1950" s="5" t="s">
        <v>65</v>
      </c>
      <c r="D1950" s="5" t="s">
        <v>66</v>
      </c>
      <c r="E1950" s="5" t="s">
        <v>19</v>
      </c>
      <c r="F1950" s="9">
        <v>60</v>
      </c>
      <c r="G1950" s="9">
        <v>668</v>
      </c>
      <c r="H1950" s="5" t="s">
        <v>20</v>
      </c>
      <c r="I1950" s="5" t="s">
        <v>4936</v>
      </c>
      <c r="J1950" s="12" t="str">
        <f>HYPERLINK("https://www.boe.es/gazeta/dias/1804/07/27/pdfs/GMD-1804-60.pdf#page=10","Abrir facsímil")</f>
        <v>Abrir facsímil</v>
      </c>
      <c r="K1950" s="15" t="s">
        <v>22</v>
      </c>
    </row>
    <row r="1951" spans="1:11" ht="42" customHeight="1">
      <c r="A1951" s="4" t="s">
        <v>4937</v>
      </c>
      <c r="B1951" s="5" t="s">
        <v>4938</v>
      </c>
      <c r="C1951" s="5" t="s">
        <v>65</v>
      </c>
      <c r="D1951" s="5" t="s">
        <v>66</v>
      </c>
      <c r="E1951" s="5" t="s">
        <v>453</v>
      </c>
      <c r="F1951" s="9">
        <v>33</v>
      </c>
      <c r="G1951" s="9">
        <v>366</v>
      </c>
      <c r="H1951" s="5" t="s">
        <v>20</v>
      </c>
      <c r="I1951" s="5" t="s">
        <v>4939</v>
      </c>
      <c r="J1951" s="12" t="str">
        <f>HYPERLINK("https://www.boe.es/gazeta/dias/1804/04/24/pdfs/GMD-1804-33.pdf#page=8","Abrir facsímil")</f>
        <v>Abrir facsímil</v>
      </c>
      <c r="K1951" s="15" t="s">
        <v>22</v>
      </c>
    </row>
    <row r="1952" spans="1:11" ht="42" customHeight="1">
      <c r="A1952" s="4" t="s">
        <v>4940</v>
      </c>
      <c r="B1952" s="5" t="s">
        <v>4941</v>
      </c>
      <c r="C1952" s="5" t="s">
        <v>27</v>
      </c>
      <c r="D1952" s="5" t="s">
        <v>28</v>
      </c>
      <c r="E1952" s="5" t="s">
        <v>103</v>
      </c>
      <c r="F1952" s="9">
        <v>11</v>
      </c>
      <c r="G1952" s="9">
        <v>123</v>
      </c>
      <c r="H1952" s="5" t="s">
        <v>20</v>
      </c>
      <c r="I1952" s="5" t="s">
        <v>4942</v>
      </c>
      <c r="J1952" s="12" t="str">
        <f>HYPERLINK("https://www.boe.es/gazeta/dias/1804/02/07/pdfs/GMD-1804-11.pdf#page=11","Abrir facsímil")</f>
        <v>Abrir facsímil</v>
      </c>
      <c r="K1952" s="15" t="s">
        <v>22</v>
      </c>
    </row>
    <row r="1953" spans="1:11" ht="42" customHeight="1">
      <c r="A1953" s="4" t="s">
        <v>4940</v>
      </c>
      <c r="B1953" s="5" t="s">
        <v>4941</v>
      </c>
      <c r="C1953" s="5" t="s">
        <v>120</v>
      </c>
      <c r="D1953" s="5" t="s">
        <v>121</v>
      </c>
      <c r="E1953" s="5" t="s">
        <v>33</v>
      </c>
      <c r="F1953" s="9">
        <v>48</v>
      </c>
      <c r="G1953" s="9" t="s">
        <v>285</v>
      </c>
      <c r="H1953" s="5" t="s">
        <v>20</v>
      </c>
      <c r="I1953" s="5" t="s">
        <v>4943</v>
      </c>
      <c r="J1953" s="12" t="str">
        <f>HYPERLINK("https://www.boe.es/gazeta/dias/1804/06/15/pdfs/GMD-C-1804-48.pdf#page=2","Abrir facsímil")</f>
        <v>Abrir facsímil</v>
      </c>
      <c r="K1953" s="15" t="s">
        <v>22</v>
      </c>
    </row>
    <row r="1954" spans="1:11" ht="42" customHeight="1">
      <c r="A1954" s="4" t="s">
        <v>4944</v>
      </c>
      <c r="B1954" s="5" t="s">
        <v>4945</v>
      </c>
      <c r="C1954" s="5" t="s">
        <v>27</v>
      </c>
      <c r="D1954" s="5" t="s">
        <v>28</v>
      </c>
      <c r="E1954" s="5" t="s">
        <v>67</v>
      </c>
      <c r="F1954" s="9">
        <v>59</v>
      </c>
      <c r="G1954" s="9">
        <v>653</v>
      </c>
      <c r="H1954" s="5" t="s">
        <v>20</v>
      </c>
      <c r="I1954" s="5" t="s">
        <v>4946</v>
      </c>
      <c r="J1954" s="12" t="str">
        <f>HYPERLINK("https://www.boe.es/gazeta/dias/1804/07/24/pdfs/GMD-1804-59.pdf#page=7","Abrir facsímil")</f>
        <v>Abrir facsímil</v>
      </c>
      <c r="K1954" s="15" t="s">
        <v>22</v>
      </c>
    </row>
    <row r="1955" spans="1:11" ht="42" customHeight="1">
      <c r="A1955" s="4" t="s">
        <v>4944</v>
      </c>
      <c r="B1955" s="5" t="s">
        <v>4945</v>
      </c>
      <c r="C1955" s="5" t="s">
        <v>17</v>
      </c>
      <c r="D1955" s="5" t="s">
        <v>18</v>
      </c>
      <c r="E1955" s="5" t="s">
        <v>81</v>
      </c>
      <c r="F1955" s="9">
        <v>98</v>
      </c>
      <c r="G1955" s="9">
        <v>1088</v>
      </c>
      <c r="H1955" s="5" t="s">
        <v>20</v>
      </c>
      <c r="I1955" s="5" t="s">
        <v>4947</v>
      </c>
      <c r="J1955" s="12" t="str">
        <f>HYPERLINK("https://www.boe.es/gazeta/dias/1804/12/07/pdfs/GMD-1804-98.pdf#page=4","Abrir facsímil")</f>
        <v>Abrir facsímil</v>
      </c>
      <c r="K1955" s="15" t="s">
        <v>22</v>
      </c>
    </row>
    <row r="1956" spans="1:11" ht="42" customHeight="1">
      <c r="A1956" s="4" t="s">
        <v>4948</v>
      </c>
      <c r="B1956" s="5" t="s">
        <v>4949</v>
      </c>
      <c r="C1956" s="5" t="s">
        <v>27</v>
      </c>
      <c r="D1956" s="5" t="s">
        <v>28</v>
      </c>
      <c r="E1956" s="5" t="s">
        <v>453</v>
      </c>
      <c r="F1956" s="9">
        <v>33</v>
      </c>
      <c r="G1956" s="9">
        <v>367</v>
      </c>
      <c r="H1956" s="5" t="s">
        <v>20</v>
      </c>
      <c r="I1956" s="5" t="s">
        <v>4950</v>
      </c>
      <c r="J1956" s="12" t="str">
        <f>HYPERLINK("https://www.boe.es/gazeta/dias/1804/04/24/pdfs/GMD-1804-33.pdf#page=9","Abrir facsímil")</f>
        <v>Abrir facsímil</v>
      </c>
      <c r="K1956" s="15" t="s">
        <v>22</v>
      </c>
    </row>
    <row r="1957" spans="1:11" ht="42" customHeight="1">
      <c r="A1957" s="4" t="s">
        <v>4948</v>
      </c>
      <c r="B1957" s="5" t="s">
        <v>4949</v>
      </c>
      <c r="C1957" s="5" t="s">
        <v>198</v>
      </c>
      <c r="D1957" s="5" t="s">
        <v>66</v>
      </c>
      <c r="E1957" s="5" t="s">
        <v>59</v>
      </c>
      <c r="F1957" s="9">
        <v>55</v>
      </c>
      <c r="G1957" s="9">
        <v>613</v>
      </c>
      <c r="H1957" s="5" t="s">
        <v>20</v>
      </c>
      <c r="I1957" s="5" t="s">
        <v>4951</v>
      </c>
      <c r="J1957" s="12" t="str">
        <f>HYPERLINK("https://www.boe.es/gazeta/dias/1804/07/10/pdfs/GMD-1804-55.pdf#page=11","Abrir facsímil")</f>
        <v>Abrir facsímil</v>
      </c>
      <c r="K1957" s="15" t="s">
        <v>22</v>
      </c>
    </row>
    <row r="1958" spans="1:11" ht="42" customHeight="1">
      <c r="A1958" s="4" t="s">
        <v>4952</v>
      </c>
      <c r="B1958" s="5" t="s">
        <v>4953</v>
      </c>
      <c r="C1958" s="5" t="s">
        <v>120</v>
      </c>
      <c r="D1958" s="5" t="s">
        <v>121</v>
      </c>
      <c r="E1958" s="5" t="s">
        <v>33</v>
      </c>
      <c r="F1958" s="9">
        <v>48</v>
      </c>
      <c r="G1958" s="9" t="s">
        <v>285</v>
      </c>
      <c r="H1958" s="5" t="s">
        <v>20</v>
      </c>
      <c r="I1958" s="5" t="s">
        <v>4954</v>
      </c>
      <c r="J1958" s="12" t="str">
        <f>HYPERLINK("https://www.boe.es/gazeta/dias/1804/06/15/pdfs/GMD-C-1804-48.pdf#page=2","Abrir facsímil")</f>
        <v>Abrir facsímil</v>
      </c>
      <c r="K1958" s="15" t="s">
        <v>22</v>
      </c>
    </row>
    <row r="1959" spans="1:11" ht="42" customHeight="1">
      <c r="A1959" s="4" t="s">
        <v>4955</v>
      </c>
      <c r="B1959" s="5" t="s">
        <v>4956</v>
      </c>
      <c r="C1959" s="5" t="s">
        <v>27</v>
      </c>
      <c r="D1959" s="5" t="s">
        <v>28</v>
      </c>
      <c r="E1959" s="5" t="s">
        <v>81</v>
      </c>
      <c r="F1959" s="9">
        <v>98</v>
      </c>
      <c r="G1959" s="9">
        <v>1089</v>
      </c>
      <c r="H1959" s="5" t="s">
        <v>20</v>
      </c>
      <c r="I1959" s="5" t="s">
        <v>4957</v>
      </c>
      <c r="J1959" s="12" t="str">
        <f>HYPERLINK("https://www.boe.es/gazeta/dias/1804/12/07/pdfs/GMD-1804-98.pdf#page=5","Abrir facsímil")</f>
        <v>Abrir facsímil</v>
      </c>
      <c r="K1959" s="15" t="s">
        <v>22</v>
      </c>
    </row>
    <row r="1960" spans="1:11" ht="42" customHeight="1">
      <c r="A1960" s="4" t="s">
        <v>4958</v>
      </c>
      <c r="B1960" s="5" t="s">
        <v>4959</v>
      </c>
      <c r="C1960" s="5" t="s">
        <v>57</v>
      </c>
      <c r="D1960" s="5" t="s">
        <v>58</v>
      </c>
      <c r="E1960" s="5" t="s">
        <v>222</v>
      </c>
      <c r="F1960" s="9">
        <v>4</v>
      </c>
      <c r="G1960" s="9">
        <v>32</v>
      </c>
      <c r="H1960" s="5" t="s">
        <v>20</v>
      </c>
      <c r="I1960" s="5" t="s">
        <v>4960</v>
      </c>
      <c r="J1960" s="12" t="str">
        <f>HYPERLINK("https://www.boe.es/gazeta/dias/1804/01/13/pdfs/GMD-1804-4.pdf#page=4","Abrir facsímil")</f>
        <v>Abrir facsímil</v>
      </c>
      <c r="K1960" s="15" t="s">
        <v>22</v>
      </c>
    </row>
    <row r="1961" spans="1:11" ht="42" customHeight="1">
      <c r="A1961" s="4" t="s">
        <v>4958</v>
      </c>
      <c r="B1961" s="5" t="s">
        <v>4959</v>
      </c>
      <c r="C1961" s="5" t="s">
        <v>57</v>
      </c>
      <c r="D1961" s="5" t="s">
        <v>58</v>
      </c>
      <c r="E1961" s="5" t="s">
        <v>132</v>
      </c>
      <c r="F1961" s="9">
        <v>52</v>
      </c>
      <c r="G1961" s="9">
        <v>568</v>
      </c>
      <c r="H1961" s="5" t="s">
        <v>20</v>
      </c>
      <c r="I1961" s="5" t="s">
        <v>4961</v>
      </c>
      <c r="J1961" s="12" t="str">
        <f>HYPERLINK("https://www.boe.es/gazeta/dias/1804/06/29/pdfs/GMD-1804-52.pdf#page=2","Abrir facsímil")</f>
        <v>Abrir facsímil</v>
      </c>
      <c r="K1961" s="15" t="s">
        <v>22</v>
      </c>
    </row>
    <row r="1962" spans="1:11" ht="42" customHeight="1">
      <c r="A1962" s="4" t="s">
        <v>4958</v>
      </c>
      <c r="B1962" s="5" t="s">
        <v>4959</v>
      </c>
      <c r="C1962" s="5" t="s">
        <v>57</v>
      </c>
      <c r="D1962" s="5" t="s">
        <v>58</v>
      </c>
      <c r="E1962" s="5" t="s">
        <v>19</v>
      </c>
      <c r="F1962" s="9">
        <v>60</v>
      </c>
      <c r="G1962" s="9">
        <v>662</v>
      </c>
      <c r="H1962" s="5" t="s">
        <v>20</v>
      </c>
      <c r="I1962" s="5" t="s">
        <v>4962</v>
      </c>
      <c r="J1962" s="12" t="str">
        <f>HYPERLINK("https://www.boe.es/gazeta/dias/1804/07/27/pdfs/GMD-1804-60.pdf#page=4","Abrir facsímil")</f>
        <v>Abrir facsímil</v>
      </c>
      <c r="K1962" s="15" t="s">
        <v>22</v>
      </c>
    </row>
    <row r="1963" spans="1:11" ht="42" customHeight="1">
      <c r="A1963" s="4" t="s">
        <v>4958</v>
      </c>
      <c r="B1963" s="5" t="s">
        <v>4959</v>
      </c>
      <c r="C1963" s="5" t="s">
        <v>57</v>
      </c>
      <c r="D1963" s="5" t="s">
        <v>58</v>
      </c>
      <c r="E1963" s="5" t="s">
        <v>91</v>
      </c>
      <c r="F1963" s="9">
        <v>72</v>
      </c>
      <c r="G1963" s="9">
        <v>804</v>
      </c>
      <c r="H1963" s="5" t="s">
        <v>20</v>
      </c>
      <c r="I1963" s="5" t="s">
        <v>4963</v>
      </c>
      <c r="J1963" s="12" t="str">
        <f>HYPERLINK("https://www.boe.es/gazeta/dias/1804/09/07/pdfs/GMD-1804-72.pdf#page=6","Abrir facsímil")</f>
        <v>Abrir facsímil</v>
      </c>
      <c r="K1963" s="15" t="s">
        <v>22</v>
      </c>
    </row>
    <row r="1964" spans="1:11" ht="42" customHeight="1">
      <c r="A1964" s="4" t="s">
        <v>4964</v>
      </c>
      <c r="B1964" s="5" t="s">
        <v>4965</v>
      </c>
      <c r="C1964" s="5" t="s">
        <v>57</v>
      </c>
      <c r="D1964" s="5" t="s">
        <v>58</v>
      </c>
      <c r="E1964" s="5" t="s">
        <v>43</v>
      </c>
      <c r="F1964" s="9">
        <v>84</v>
      </c>
      <c r="G1964" s="9">
        <v>924</v>
      </c>
      <c r="H1964" s="5" t="s">
        <v>20</v>
      </c>
      <c r="I1964" s="5" t="s">
        <v>4966</v>
      </c>
      <c r="J1964" s="12" t="str">
        <f>HYPERLINK("https://www.boe.es/gazeta/dias/1804/10/19/pdfs/GMD-1804-84.pdf#page=2","Abrir facsímil")</f>
        <v>Abrir facsímil</v>
      </c>
      <c r="K1964" s="15" t="s">
        <v>22</v>
      </c>
    </row>
    <row r="1965" spans="1:11" ht="42" customHeight="1">
      <c r="A1965" s="4" t="s">
        <v>4967</v>
      </c>
      <c r="B1965" s="5" t="s">
        <v>4967</v>
      </c>
      <c r="C1965" s="5" t="s">
        <v>17</v>
      </c>
      <c r="D1965" s="5" t="s">
        <v>18</v>
      </c>
      <c r="E1965" s="5" t="s">
        <v>272</v>
      </c>
      <c r="F1965" s="9">
        <v>30</v>
      </c>
      <c r="G1965" s="9">
        <v>329</v>
      </c>
      <c r="H1965" s="5" t="s">
        <v>20</v>
      </c>
      <c r="I1965" s="5" t="s">
        <v>4968</v>
      </c>
      <c r="J1965" s="12" t="str">
        <f>HYPERLINK("https://www.boe.es/gazeta/dias/1804/04/13/pdfs/GMD-1804-30.pdf#page=7","Abrir facsímil")</f>
        <v>Abrir facsímil</v>
      </c>
      <c r="K1965" s="15" t="s">
        <v>22</v>
      </c>
    </row>
    <row r="1966" spans="1:11" ht="42" customHeight="1">
      <c r="A1966" s="4" t="s">
        <v>4969</v>
      </c>
      <c r="B1966" s="5" t="s">
        <v>4970</v>
      </c>
      <c r="C1966" s="5" t="s">
        <v>120</v>
      </c>
      <c r="D1966" s="5" t="s">
        <v>121</v>
      </c>
      <c r="E1966" s="5" t="s">
        <v>33</v>
      </c>
      <c r="F1966" s="9">
        <v>48</v>
      </c>
      <c r="G1966" s="9" t="s">
        <v>285</v>
      </c>
      <c r="H1966" s="5" t="s">
        <v>20</v>
      </c>
      <c r="I1966" s="5" t="s">
        <v>4971</v>
      </c>
      <c r="J1966" s="12" t="str">
        <f>HYPERLINK("https://www.boe.es/gazeta/dias/1804/06/15/pdfs/GMD-C-1804-48.pdf#page=2","Abrir facsímil")</f>
        <v>Abrir facsímil</v>
      </c>
      <c r="K1966" s="15" t="s">
        <v>22</v>
      </c>
    </row>
    <row r="1967" spans="1:11" ht="42" customHeight="1">
      <c r="A1967" s="4" t="s">
        <v>4972</v>
      </c>
      <c r="B1967" s="5" t="s">
        <v>4973</v>
      </c>
      <c r="C1967" s="5" t="s">
        <v>27</v>
      </c>
      <c r="D1967" s="5" t="s">
        <v>28</v>
      </c>
      <c r="E1967" s="5" t="s">
        <v>264</v>
      </c>
      <c r="F1967" s="9">
        <v>49</v>
      </c>
      <c r="G1967" s="9">
        <v>544</v>
      </c>
      <c r="H1967" s="5" t="s">
        <v>20</v>
      </c>
      <c r="I1967" s="5" t="s">
        <v>4974</v>
      </c>
      <c r="J1967" s="12" t="str">
        <f>HYPERLINK("https://www.boe.es/gazeta/dias/1804/06/19/pdfs/GMD-1804-49.pdf#page=6","Abrir facsímil")</f>
        <v>Abrir facsímil</v>
      </c>
      <c r="K1967" s="15" t="s">
        <v>22</v>
      </c>
    </row>
    <row r="1968" spans="1:11" ht="42" customHeight="1">
      <c r="A1968" s="4" t="s">
        <v>4975</v>
      </c>
      <c r="B1968" s="5" t="s">
        <v>4976</v>
      </c>
      <c r="C1968" s="5" t="s">
        <v>85</v>
      </c>
      <c r="D1968" s="5" t="s">
        <v>86</v>
      </c>
      <c r="E1968" s="5" t="s">
        <v>140</v>
      </c>
      <c r="F1968" s="9">
        <v>39</v>
      </c>
      <c r="G1968" s="9">
        <v>438</v>
      </c>
      <c r="H1968" s="5" t="s">
        <v>20</v>
      </c>
      <c r="I1968" s="5" t="s">
        <v>4977</v>
      </c>
      <c r="J1968" s="12" t="str">
        <f>HYPERLINK("https://www.boe.es/gazeta/dias/1804/05/15/pdfs/GMD-1804-39.pdf#page=12","Abrir facsímil")</f>
        <v>Abrir facsímil</v>
      </c>
      <c r="K1968" s="15" t="s">
        <v>22</v>
      </c>
    </row>
    <row r="1969" spans="1:11" ht="42" customHeight="1">
      <c r="A1969" s="4" t="s">
        <v>4978</v>
      </c>
      <c r="B1969" s="5" t="s">
        <v>4979</v>
      </c>
      <c r="C1969" s="5" t="s">
        <v>27</v>
      </c>
      <c r="D1969" s="5" t="s">
        <v>28</v>
      </c>
      <c r="E1969" s="5" t="s">
        <v>87</v>
      </c>
      <c r="F1969" s="9">
        <v>9</v>
      </c>
      <c r="G1969" s="9">
        <v>98</v>
      </c>
      <c r="H1969" s="5" t="s">
        <v>20</v>
      </c>
      <c r="I1969" s="5" t="s">
        <v>4980</v>
      </c>
      <c r="J1969" s="12" t="str">
        <f>HYPERLINK("https://www.boe.es/gazeta/dias/1804/01/31/pdfs/GMD-1804-9.pdf#page=10","Abrir facsímil")</f>
        <v>Abrir facsímil</v>
      </c>
      <c r="K1969" s="15" t="s">
        <v>22</v>
      </c>
    </row>
    <row r="1970" spans="1:11" ht="42" customHeight="1">
      <c r="A1970" s="4" t="s">
        <v>4981</v>
      </c>
      <c r="B1970" s="5" t="s">
        <v>4982</v>
      </c>
      <c r="C1970" s="5" t="s">
        <v>27</v>
      </c>
      <c r="D1970" s="5" t="s">
        <v>28</v>
      </c>
      <c r="E1970" s="5" t="s">
        <v>206</v>
      </c>
      <c r="F1970" s="9">
        <v>44</v>
      </c>
      <c r="G1970" s="9">
        <v>489</v>
      </c>
      <c r="H1970" s="5" t="s">
        <v>20</v>
      </c>
      <c r="I1970" s="5" t="s">
        <v>4983</v>
      </c>
      <c r="J1970" s="12" t="str">
        <f>HYPERLINK("https://www.boe.es/gazeta/dias/1804/06/01/pdfs/GMD-1804-44.pdf#page=7","Abrir facsímil")</f>
        <v>Abrir facsímil</v>
      </c>
      <c r="K1970" s="15" t="s">
        <v>22</v>
      </c>
    </row>
    <row r="1971" spans="1:11" ht="42" customHeight="1">
      <c r="A1971" s="4" t="s">
        <v>4984</v>
      </c>
      <c r="B1971" s="5" t="s">
        <v>4985</v>
      </c>
      <c r="C1971" s="5" t="s">
        <v>17</v>
      </c>
      <c r="D1971" s="5" t="s">
        <v>18</v>
      </c>
      <c r="E1971" s="5" t="s">
        <v>91</v>
      </c>
      <c r="F1971" s="9">
        <v>72</v>
      </c>
      <c r="G1971" s="9">
        <v>807</v>
      </c>
      <c r="H1971" s="5" t="s">
        <v>20</v>
      </c>
      <c r="I1971" s="5" t="s">
        <v>4986</v>
      </c>
      <c r="J1971" s="12" t="str">
        <f>HYPERLINK("https://www.boe.es/gazeta/dias/1804/09/07/pdfs/GMD-1804-72.pdf#page=9","Abrir facsímil")</f>
        <v>Abrir facsímil</v>
      </c>
      <c r="K1971" s="15" t="s">
        <v>22</v>
      </c>
    </row>
    <row r="1972" spans="1:11" ht="42" customHeight="1">
      <c r="A1972" s="4" t="s">
        <v>4987</v>
      </c>
      <c r="B1972" s="5" t="s">
        <v>4987</v>
      </c>
      <c r="C1972" s="5" t="s">
        <v>85</v>
      </c>
      <c r="D1972" s="5" t="s">
        <v>86</v>
      </c>
      <c r="E1972" s="5" t="s">
        <v>388</v>
      </c>
      <c r="F1972" s="9">
        <v>18</v>
      </c>
      <c r="G1972" s="9">
        <v>193</v>
      </c>
      <c r="H1972" s="5" t="s">
        <v>20</v>
      </c>
      <c r="I1972" s="5" t="s">
        <v>4988</v>
      </c>
      <c r="J1972" s="12" t="str">
        <f>HYPERLINK("https://www.boe.es/gazeta/dias/1804/03/02/pdfs/GMD-1804-18.pdf#page=5","Abrir facsímil")</f>
        <v>Abrir facsímil</v>
      </c>
      <c r="K1972" s="15" t="s">
        <v>22</v>
      </c>
    </row>
    <row r="1973" spans="1:11" ht="42" customHeight="1">
      <c r="A1973" s="4" t="s">
        <v>4989</v>
      </c>
      <c r="B1973" s="5" t="s">
        <v>4990</v>
      </c>
      <c r="C1973" s="5" t="s">
        <v>57</v>
      </c>
      <c r="D1973" s="5" t="s">
        <v>58</v>
      </c>
      <c r="E1973" s="5" t="s">
        <v>182</v>
      </c>
      <c r="F1973" s="9">
        <v>21</v>
      </c>
      <c r="G1973" s="9">
        <v>230</v>
      </c>
      <c r="H1973" s="5" t="s">
        <v>20</v>
      </c>
      <c r="I1973" s="5" t="s">
        <v>4991</v>
      </c>
      <c r="J1973" s="12" t="str">
        <f>HYPERLINK("https://www.boe.es/gazeta/dias/1804/03/13/pdfs/GMD-1804-21.pdf#page=6","Abrir facsímil")</f>
        <v>Abrir facsímil</v>
      </c>
      <c r="K1973" s="15" t="s">
        <v>22</v>
      </c>
    </row>
    <row r="1974" spans="1:11" ht="42" customHeight="1">
      <c r="A1974" s="4" t="s">
        <v>4992</v>
      </c>
      <c r="B1974" s="5" t="s">
        <v>4993</v>
      </c>
      <c r="C1974" s="5" t="s">
        <v>17</v>
      </c>
      <c r="D1974" s="5" t="s">
        <v>18</v>
      </c>
      <c r="E1974" s="5" t="s">
        <v>360</v>
      </c>
      <c r="F1974" s="9">
        <v>81</v>
      </c>
      <c r="G1974" s="9">
        <v>896</v>
      </c>
      <c r="H1974" s="5" t="s">
        <v>20</v>
      </c>
      <c r="I1974" s="5" t="s">
        <v>4994</v>
      </c>
      <c r="J1974" s="12" t="str">
        <f>HYPERLINK("https://www.boe.es/gazeta/dias/1804/10/09/pdfs/GMD-1804-81.pdf#page=6","Abrir facsímil")</f>
        <v>Abrir facsímil</v>
      </c>
      <c r="K1974" s="15" t="s">
        <v>22</v>
      </c>
    </row>
    <row r="1975" spans="1:11" ht="42" customHeight="1">
      <c r="A1975" s="4" t="s">
        <v>4992</v>
      </c>
      <c r="B1975" s="5" t="s">
        <v>4993</v>
      </c>
      <c r="C1975" s="5" t="s">
        <v>57</v>
      </c>
      <c r="D1975" s="5" t="s">
        <v>58</v>
      </c>
      <c r="E1975" s="5" t="s">
        <v>23</v>
      </c>
      <c r="F1975" s="9">
        <v>91</v>
      </c>
      <c r="G1975" s="9">
        <v>1007</v>
      </c>
      <c r="H1975" s="5" t="s">
        <v>20</v>
      </c>
      <c r="I1975" s="5" t="s">
        <v>4995</v>
      </c>
      <c r="J1975" s="12" t="str">
        <f>HYPERLINK("https://www.boe.es/gazeta/dias/1804/11/13/pdfs/GMD-1804-91.pdf#page=7","Abrir facsímil")</f>
        <v>Abrir facsímil</v>
      </c>
      <c r="K1975" s="15" t="s">
        <v>22</v>
      </c>
    </row>
    <row r="1976" spans="1:11" ht="42" customHeight="1">
      <c r="A1976" s="4" t="s">
        <v>4992</v>
      </c>
      <c r="B1976" s="5" t="s">
        <v>4993</v>
      </c>
      <c r="C1976" s="5" t="s">
        <v>27</v>
      </c>
      <c r="D1976" s="5" t="s">
        <v>28</v>
      </c>
      <c r="E1976" s="5" t="s">
        <v>490</v>
      </c>
      <c r="F1976" s="9">
        <v>100</v>
      </c>
      <c r="G1976" s="9">
        <v>1115</v>
      </c>
      <c r="H1976" s="5" t="s">
        <v>20</v>
      </c>
      <c r="I1976" s="5" t="s">
        <v>4996</v>
      </c>
      <c r="J1976" s="12" t="str">
        <f>HYPERLINK("https://www.boe.es/gazeta/dias/1804/12/14/pdfs/GMD-1804-100.pdf#page=7","Abrir facsímil")</f>
        <v>Abrir facsímil</v>
      </c>
      <c r="K1976" s="15" t="s">
        <v>22</v>
      </c>
    </row>
    <row r="1977" spans="1:11" ht="42" customHeight="1">
      <c r="A1977" s="4" t="s">
        <v>4997</v>
      </c>
      <c r="B1977" s="5" t="s">
        <v>4998</v>
      </c>
      <c r="C1977" s="5" t="s">
        <v>17</v>
      </c>
      <c r="D1977" s="5" t="s">
        <v>18</v>
      </c>
      <c r="E1977" s="5" t="s">
        <v>147</v>
      </c>
      <c r="F1977" s="9">
        <v>77</v>
      </c>
      <c r="G1977" s="9">
        <v>861</v>
      </c>
      <c r="H1977" s="5" t="s">
        <v>20</v>
      </c>
      <c r="I1977" s="5" t="s">
        <v>4999</v>
      </c>
      <c r="J1977" s="12" t="str">
        <f>HYPERLINK("https://www.boe.es/gazeta/dias/1804/09/25/pdfs/GMD-1804-77.pdf#page=11","Abrir facsímil")</f>
        <v>Abrir facsímil</v>
      </c>
      <c r="K1977" s="15" t="s">
        <v>22</v>
      </c>
    </row>
    <row r="1978" spans="1:11" ht="42" customHeight="1">
      <c r="A1978" s="4" t="s">
        <v>5000</v>
      </c>
      <c r="B1978" s="5" t="s">
        <v>5001</v>
      </c>
      <c r="C1978" s="5" t="s">
        <v>85</v>
      </c>
      <c r="D1978" s="5" t="s">
        <v>86</v>
      </c>
      <c r="E1978" s="5" t="s">
        <v>147</v>
      </c>
      <c r="F1978" s="9">
        <v>77</v>
      </c>
      <c r="G1978" s="9">
        <v>862</v>
      </c>
      <c r="H1978" s="5" t="s">
        <v>20</v>
      </c>
      <c r="I1978" s="5" t="s">
        <v>5002</v>
      </c>
      <c r="J1978" s="12" t="str">
        <f>HYPERLINK("https://www.boe.es/gazeta/dias/1804/09/25/pdfs/GMD-1804-77.pdf#page=12","Abrir facsímil")</f>
        <v>Abrir facsímil</v>
      </c>
      <c r="K1978" s="15" t="s">
        <v>22</v>
      </c>
    </row>
    <row r="1979" spans="1:11" ht="42" customHeight="1">
      <c r="A1979" s="4" t="s">
        <v>5003</v>
      </c>
      <c r="B1979" s="5" t="s">
        <v>5003</v>
      </c>
      <c r="C1979" s="5" t="s">
        <v>27</v>
      </c>
      <c r="D1979" s="5" t="s">
        <v>28</v>
      </c>
      <c r="E1979" s="5" t="s">
        <v>1278</v>
      </c>
      <c r="F1979" s="9">
        <v>37</v>
      </c>
      <c r="G1979" s="9">
        <v>410</v>
      </c>
      <c r="H1979" s="5" t="s">
        <v>20</v>
      </c>
      <c r="I1979" s="5" t="s">
        <v>5004</v>
      </c>
      <c r="J1979" s="12" t="str">
        <f>HYPERLINK("https://www.boe.es/gazeta/dias/1804/05/08/pdfs/GMD-1804-37.pdf#page=8","Abrir facsímil")</f>
        <v>Abrir facsímil</v>
      </c>
      <c r="K1979" s="15" t="s">
        <v>22</v>
      </c>
    </row>
    <row r="1980" spans="1:11" ht="42" customHeight="1">
      <c r="A1980" s="4" t="s">
        <v>5005</v>
      </c>
      <c r="B1980" s="5" t="s">
        <v>5005</v>
      </c>
      <c r="C1980" s="5" t="s">
        <v>85</v>
      </c>
      <c r="D1980" s="5" t="s">
        <v>86</v>
      </c>
      <c r="E1980" s="5" t="s">
        <v>736</v>
      </c>
      <c r="F1980" s="9">
        <v>83</v>
      </c>
      <c r="G1980" s="9" t="s">
        <v>98</v>
      </c>
      <c r="H1980" s="5" t="s">
        <v>20</v>
      </c>
      <c r="I1980" s="5" t="s">
        <v>5006</v>
      </c>
      <c r="J1980" s="12" t="str">
        <f>HYPERLINK("https://www.boe.es/gazeta/dias/1804/10/16/pdfs/GMD-C-1804-83.pdf#page=1","Abrir facsímil")</f>
        <v>Abrir facsímil</v>
      </c>
      <c r="K1980" s="15" t="s">
        <v>22</v>
      </c>
    </row>
    <row r="1981" spans="1:11" ht="42" customHeight="1">
      <c r="A1981" s="4" t="s">
        <v>5007</v>
      </c>
      <c r="B1981" s="5" t="s">
        <v>5007</v>
      </c>
      <c r="C1981" s="5" t="s">
        <v>27</v>
      </c>
      <c r="D1981" s="5" t="s">
        <v>28</v>
      </c>
      <c r="E1981" s="5" t="s">
        <v>163</v>
      </c>
      <c r="F1981" s="9">
        <v>70</v>
      </c>
      <c r="G1981" s="9">
        <v>782</v>
      </c>
      <c r="H1981" s="5" t="s">
        <v>20</v>
      </c>
      <c r="I1981" s="5" t="s">
        <v>5008</v>
      </c>
      <c r="J1981" s="12" t="str">
        <f>HYPERLINK("https://www.boe.es/gazeta/dias/1804/08/31/pdfs/GMD-1804-70.pdf#page=4","Abrir facsímil")</f>
        <v>Abrir facsímil</v>
      </c>
      <c r="K1981" s="15" t="s">
        <v>22</v>
      </c>
    </row>
    <row r="1982" spans="1:11" ht="42" customHeight="1">
      <c r="A1982" s="4" t="s">
        <v>5009</v>
      </c>
      <c r="B1982" s="5" t="s">
        <v>5010</v>
      </c>
      <c r="C1982" s="5" t="s">
        <v>27</v>
      </c>
      <c r="D1982" s="5" t="s">
        <v>28</v>
      </c>
      <c r="E1982" s="5" t="s">
        <v>71</v>
      </c>
      <c r="F1982" s="9">
        <v>99</v>
      </c>
      <c r="G1982" s="9">
        <v>1102</v>
      </c>
      <c r="H1982" s="5" t="s">
        <v>20</v>
      </c>
      <c r="I1982" s="5" t="s">
        <v>5011</v>
      </c>
      <c r="J1982" s="12" t="str">
        <f>HYPERLINK("https://www.boe.es/gazeta/dias/1804/12/11/pdfs/GMD-1804-99.pdf#page=2","Abrir facsímil")</f>
        <v>Abrir facsímil</v>
      </c>
      <c r="K1982" s="15" t="s">
        <v>22</v>
      </c>
    </row>
    <row r="1983" spans="1:11" ht="42" customHeight="1">
      <c r="A1983" s="4" t="s">
        <v>5012</v>
      </c>
      <c r="B1983" s="5" t="s">
        <v>5013</v>
      </c>
      <c r="C1983" s="5" t="s">
        <v>17</v>
      </c>
      <c r="D1983" s="5" t="s">
        <v>18</v>
      </c>
      <c r="E1983" s="5" t="s">
        <v>326</v>
      </c>
      <c r="F1983" s="9">
        <v>69</v>
      </c>
      <c r="G1983" s="9">
        <v>774</v>
      </c>
      <c r="H1983" s="5" t="s">
        <v>20</v>
      </c>
      <c r="I1983" s="5" t="s">
        <v>5014</v>
      </c>
      <c r="J1983" s="12" t="str">
        <f>HYPERLINK("https://www.boe.es/gazeta/dias/1804/08/28/pdfs/GMD-1804-69.pdf#page=8","Abrir facsímil")</f>
        <v>Abrir facsímil</v>
      </c>
      <c r="K1983" s="15" t="s">
        <v>22</v>
      </c>
    </row>
    <row r="1984" spans="1:11" ht="42" customHeight="1">
      <c r="A1984" s="4" t="s">
        <v>5015</v>
      </c>
      <c r="B1984" s="5" t="s">
        <v>5016</v>
      </c>
      <c r="C1984" s="5" t="s">
        <v>17</v>
      </c>
      <c r="D1984" s="5" t="s">
        <v>18</v>
      </c>
      <c r="E1984" s="5" t="s">
        <v>109</v>
      </c>
      <c r="F1984" s="9">
        <v>35</v>
      </c>
      <c r="G1984" s="9">
        <v>383</v>
      </c>
      <c r="H1984" s="5" t="s">
        <v>20</v>
      </c>
      <c r="I1984" s="5" t="s">
        <v>5017</v>
      </c>
      <c r="J1984" s="12" t="str">
        <f>HYPERLINK("https://www.boe.es/gazeta/dias/1804/05/01/pdfs/GMD-1804-35.pdf#page=5","Abrir facsímil")</f>
        <v>Abrir facsímil</v>
      </c>
      <c r="K1984" s="15" t="s">
        <v>22</v>
      </c>
    </row>
    <row r="1985" spans="1:11" ht="42" customHeight="1">
      <c r="A1985" s="4" t="s">
        <v>5018</v>
      </c>
      <c r="B1985" s="5" t="s">
        <v>5019</v>
      </c>
      <c r="C1985" s="5" t="s">
        <v>27</v>
      </c>
      <c r="D1985" s="5" t="s">
        <v>28</v>
      </c>
      <c r="E1985" s="5" t="s">
        <v>666</v>
      </c>
      <c r="F1985" s="9">
        <v>57</v>
      </c>
      <c r="G1985" s="9">
        <v>632</v>
      </c>
      <c r="H1985" s="5" t="s">
        <v>20</v>
      </c>
      <c r="I1985" s="5" t="s">
        <v>5020</v>
      </c>
      <c r="J1985" s="12" t="str">
        <f>HYPERLINK("https://www.boe.es/gazeta/dias/1804/07/17/pdfs/GMD-1804-57.pdf#page=10","Abrir facsímil")</f>
        <v>Abrir facsímil</v>
      </c>
      <c r="K1985" s="15" t="s">
        <v>22</v>
      </c>
    </row>
    <row r="1986" spans="1:11" ht="42" customHeight="1">
      <c r="A1986" s="4" t="s">
        <v>5021</v>
      </c>
      <c r="B1986" s="5" t="s">
        <v>5021</v>
      </c>
      <c r="C1986" s="5" t="s">
        <v>27</v>
      </c>
      <c r="D1986" s="5" t="s">
        <v>28</v>
      </c>
      <c r="E1986" s="5" t="s">
        <v>61</v>
      </c>
      <c r="F1986" s="9">
        <v>61</v>
      </c>
      <c r="G1986" s="9">
        <v>676</v>
      </c>
      <c r="H1986" s="5" t="s">
        <v>20</v>
      </c>
      <c r="I1986" s="5" t="s">
        <v>5022</v>
      </c>
      <c r="J1986" s="12" t="str">
        <f>HYPERLINK("https://www.boe.es/gazeta/dias/1804/07/31/pdfs/GMD-1804-61.pdf#page=6","Abrir facsímil")</f>
        <v>Abrir facsímil</v>
      </c>
      <c r="K1986" s="15" t="s">
        <v>22</v>
      </c>
    </row>
    <row r="1987" spans="1:11" ht="42" customHeight="1">
      <c r="A1987" s="4" t="s">
        <v>5023</v>
      </c>
      <c r="B1987" s="5" t="s">
        <v>5023</v>
      </c>
      <c r="C1987" s="5" t="s">
        <v>57</v>
      </c>
      <c r="D1987" s="5" t="s">
        <v>58</v>
      </c>
      <c r="E1987" s="5" t="s">
        <v>75</v>
      </c>
      <c r="F1987" s="9">
        <v>16</v>
      </c>
      <c r="G1987" s="9">
        <v>167</v>
      </c>
      <c r="H1987" s="5" t="s">
        <v>20</v>
      </c>
      <c r="I1987" s="5" t="s">
        <v>5024</v>
      </c>
      <c r="J1987" s="12" t="str">
        <f>HYPERLINK("https://www.boe.es/gazeta/dias/1804/02/24/pdfs/GMD-1804-16.pdf#page=3","Abrir facsímil")</f>
        <v>Abrir facsímil</v>
      </c>
      <c r="K1987" s="15" t="s">
        <v>22</v>
      </c>
    </row>
    <row r="1988" spans="1:11" ht="42" customHeight="1">
      <c r="A1988" s="4" t="s">
        <v>5025</v>
      </c>
      <c r="B1988" s="5" t="s">
        <v>5026</v>
      </c>
      <c r="C1988" s="5" t="s">
        <v>57</v>
      </c>
      <c r="D1988" s="5" t="s">
        <v>58</v>
      </c>
      <c r="E1988" s="5" t="s">
        <v>666</v>
      </c>
      <c r="F1988" s="9">
        <v>57</v>
      </c>
      <c r="G1988" s="9">
        <v>626</v>
      </c>
      <c r="H1988" s="5" t="s">
        <v>20</v>
      </c>
      <c r="I1988" s="5" t="s">
        <v>5027</v>
      </c>
      <c r="J1988" s="12" t="str">
        <f>HYPERLINK("https://www.boe.es/gazeta/dias/1804/07/17/pdfs/GMD-1804-57.pdf#page=4","Abrir facsímil")</f>
        <v>Abrir facsímil</v>
      </c>
      <c r="K1988" s="15" t="s">
        <v>22</v>
      </c>
    </row>
    <row r="1989" spans="1:11" ht="42" customHeight="1">
      <c r="A1989" s="4" t="s">
        <v>5025</v>
      </c>
      <c r="B1989" s="5" t="s">
        <v>5026</v>
      </c>
      <c r="C1989" s="5" t="s">
        <v>57</v>
      </c>
      <c r="D1989" s="5" t="s">
        <v>58</v>
      </c>
      <c r="E1989" s="5" t="s">
        <v>736</v>
      </c>
      <c r="F1989" s="9">
        <v>83</v>
      </c>
      <c r="G1989" s="9">
        <v>914</v>
      </c>
      <c r="H1989" s="5" t="s">
        <v>20</v>
      </c>
      <c r="I1989" s="5" t="s">
        <v>5028</v>
      </c>
      <c r="J1989" s="12" t="str">
        <f>HYPERLINK("https://www.boe.es/gazeta/dias/1804/10/16/pdfs/GMD-1804-83.pdf#page=4","Abrir facsímil")</f>
        <v>Abrir facsímil</v>
      </c>
      <c r="K1989" s="15" t="s">
        <v>22</v>
      </c>
    </row>
    <row r="1990" spans="1:11" ht="42" customHeight="1">
      <c r="A1990" s="4" t="s">
        <v>5025</v>
      </c>
      <c r="B1990" s="5" t="s">
        <v>5026</v>
      </c>
      <c r="C1990" s="5" t="s">
        <v>57</v>
      </c>
      <c r="D1990" s="5" t="s">
        <v>58</v>
      </c>
      <c r="E1990" s="5" t="s">
        <v>23</v>
      </c>
      <c r="F1990" s="9">
        <v>91</v>
      </c>
      <c r="G1990" s="9">
        <v>1005</v>
      </c>
      <c r="H1990" s="5" t="s">
        <v>20</v>
      </c>
      <c r="I1990" s="5" t="s">
        <v>5029</v>
      </c>
      <c r="J1990" s="12" t="str">
        <f>HYPERLINK("https://www.boe.es/gazeta/dias/1804/11/13/pdfs/GMD-1804-91.pdf#page=5","Abrir facsímil")</f>
        <v>Abrir facsímil</v>
      </c>
      <c r="K1990" s="15" t="s">
        <v>22</v>
      </c>
    </row>
    <row r="1991" spans="1:11" ht="42" customHeight="1">
      <c r="A1991" s="4" t="s">
        <v>5030</v>
      </c>
      <c r="B1991" s="5" t="s">
        <v>5031</v>
      </c>
      <c r="C1991" s="5" t="s">
        <v>17</v>
      </c>
      <c r="D1991" s="5" t="s">
        <v>18</v>
      </c>
      <c r="E1991" s="5" t="s">
        <v>37</v>
      </c>
      <c r="F1991" s="9">
        <v>29</v>
      </c>
      <c r="G1991" s="9">
        <v>319</v>
      </c>
      <c r="H1991" s="5" t="s">
        <v>20</v>
      </c>
      <c r="I1991" s="5" t="s">
        <v>5032</v>
      </c>
      <c r="J1991" s="12" t="str">
        <f>HYPERLINK("https://www.boe.es/gazeta/dias/1804/04/10/pdfs/GMD-1804-29.pdf#page=9","Abrir facsímil")</f>
        <v>Abrir facsímil</v>
      </c>
      <c r="K1991" s="15" t="s">
        <v>22</v>
      </c>
    </row>
    <row r="1992" spans="1:11" ht="42" customHeight="1">
      <c r="A1992" s="4" t="s">
        <v>5033</v>
      </c>
      <c r="B1992" s="5" t="s">
        <v>5033</v>
      </c>
      <c r="C1992" s="5" t="s">
        <v>27</v>
      </c>
      <c r="D1992" s="5" t="s">
        <v>28</v>
      </c>
      <c r="E1992" s="5" t="s">
        <v>199</v>
      </c>
      <c r="F1992" s="9">
        <v>46</v>
      </c>
      <c r="G1992" s="9">
        <v>512</v>
      </c>
      <c r="H1992" s="5" t="s">
        <v>20</v>
      </c>
      <c r="I1992" s="5" t="s">
        <v>5034</v>
      </c>
      <c r="J1992" s="12" t="str">
        <f>HYPERLINK("https://www.boe.es/gazeta/dias/1804/06/08/pdfs/GMD-1804-46.pdf#page=10","Abrir facsímil")</f>
        <v>Abrir facsímil</v>
      </c>
      <c r="K1992" s="15" t="s">
        <v>22</v>
      </c>
    </row>
    <row r="1993" spans="1:11" ht="42" customHeight="1">
      <c r="A1993" s="4" t="s">
        <v>5035</v>
      </c>
      <c r="B1993" s="5" t="s">
        <v>5036</v>
      </c>
      <c r="C1993" s="5" t="s">
        <v>27</v>
      </c>
      <c r="D1993" s="5" t="s">
        <v>28</v>
      </c>
      <c r="E1993" s="5" t="s">
        <v>81</v>
      </c>
      <c r="F1993" s="9">
        <v>98</v>
      </c>
      <c r="G1993" s="9">
        <v>1090</v>
      </c>
      <c r="H1993" s="5" t="s">
        <v>20</v>
      </c>
      <c r="I1993" s="5" t="s">
        <v>5037</v>
      </c>
      <c r="J1993" s="12" t="str">
        <f>HYPERLINK("https://www.boe.es/gazeta/dias/1804/12/07/pdfs/GMD-1804-98.pdf#page=6","Abrir facsímil")</f>
        <v>Abrir facsímil</v>
      </c>
      <c r="K1993" s="15" t="s">
        <v>22</v>
      </c>
    </row>
    <row r="1994" spans="1:11" ht="42" customHeight="1">
      <c r="A1994" s="4" t="s">
        <v>5038</v>
      </c>
      <c r="B1994" s="5" t="s">
        <v>5039</v>
      </c>
      <c r="C1994" s="5" t="s">
        <v>17</v>
      </c>
      <c r="D1994" s="5" t="s">
        <v>18</v>
      </c>
      <c r="E1994" s="5" t="s">
        <v>736</v>
      </c>
      <c r="F1994" s="9">
        <v>83</v>
      </c>
      <c r="G1994" s="9">
        <v>919</v>
      </c>
      <c r="H1994" s="5" t="s">
        <v>20</v>
      </c>
      <c r="I1994" s="5" t="s">
        <v>5040</v>
      </c>
      <c r="J1994" s="12" t="str">
        <f>HYPERLINK("https://www.boe.es/gazeta/dias/1804/10/16/pdfs/GMD-1804-83.pdf#page=9","Abrir facsímil")</f>
        <v>Abrir facsímil</v>
      </c>
      <c r="K1994" s="15" t="s">
        <v>22</v>
      </c>
    </row>
    <row r="1995" spans="1:11" ht="42" customHeight="1">
      <c r="A1995" s="4" t="s">
        <v>5041</v>
      </c>
      <c r="B1995" s="5" t="s">
        <v>5042</v>
      </c>
      <c r="C1995" s="5" t="s">
        <v>27</v>
      </c>
      <c r="D1995" s="5" t="s">
        <v>28</v>
      </c>
      <c r="E1995" s="5" t="s">
        <v>317</v>
      </c>
      <c r="F1995" s="9">
        <v>56</v>
      </c>
      <c r="G1995" s="9">
        <v>620</v>
      </c>
      <c r="H1995" s="5" t="s">
        <v>20</v>
      </c>
      <c r="I1995" s="5" t="s">
        <v>5043</v>
      </c>
      <c r="J1995" s="12" t="str">
        <f>HYPERLINK("https://www.boe.es/gazeta/dias/1804/07/13/pdfs/GMD-1804-56.pdf#page=6","Abrir facsímil")</f>
        <v>Abrir facsímil</v>
      </c>
      <c r="K1995" s="15" t="s">
        <v>22</v>
      </c>
    </row>
    <row r="1996" spans="1:11" ht="42" customHeight="1">
      <c r="A1996" s="4" t="s">
        <v>5044</v>
      </c>
      <c r="B1996" s="5" t="s">
        <v>5045</v>
      </c>
      <c r="C1996" s="5" t="s">
        <v>120</v>
      </c>
      <c r="D1996" s="5" t="s">
        <v>121</v>
      </c>
      <c r="E1996" s="5" t="s">
        <v>33</v>
      </c>
      <c r="F1996" s="9">
        <v>48</v>
      </c>
      <c r="G1996" s="9" t="s">
        <v>285</v>
      </c>
      <c r="H1996" s="5" t="s">
        <v>20</v>
      </c>
      <c r="I1996" s="5" t="s">
        <v>5046</v>
      </c>
      <c r="J1996" s="12" t="str">
        <f>HYPERLINK("https://www.boe.es/gazeta/dias/1804/06/15/pdfs/GMD-C-1804-48.pdf#page=2","Abrir facsímil")</f>
        <v>Abrir facsímil</v>
      </c>
      <c r="K1996" s="15" t="s">
        <v>22</v>
      </c>
    </row>
    <row r="1997" spans="1:11" ht="42" customHeight="1">
      <c r="A1997" s="4" t="s">
        <v>5047</v>
      </c>
      <c r="B1997" s="5" t="s">
        <v>5048</v>
      </c>
      <c r="C1997" s="5" t="s">
        <v>27</v>
      </c>
      <c r="D1997" s="5" t="s">
        <v>28</v>
      </c>
      <c r="E1997" s="5" t="s">
        <v>37</v>
      </c>
      <c r="F1997" s="9">
        <v>29</v>
      </c>
      <c r="G1997" s="9">
        <v>320</v>
      </c>
      <c r="H1997" s="5" t="s">
        <v>20</v>
      </c>
      <c r="I1997" s="5" t="s">
        <v>5049</v>
      </c>
      <c r="J1997" s="12" t="str">
        <f>HYPERLINK("https://www.boe.es/gazeta/dias/1804/04/10/pdfs/GMD-1804-29.pdf#page=10","Abrir facsímil")</f>
        <v>Abrir facsímil</v>
      </c>
      <c r="K1997" s="15" t="s">
        <v>22</v>
      </c>
    </row>
    <row r="1998" spans="1:11" ht="42" customHeight="1">
      <c r="A1998" s="4" t="s">
        <v>5050</v>
      </c>
      <c r="B1998" s="5" t="s">
        <v>5051</v>
      </c>
      <c r="C1998" s="5" t="s">
        <v>85</v>
      </c>
      <c r="D1998" s="5" t="s">
        <v>86</v>
      </c>
      <c r="E1998" s="5" t="s">
        <v>172</v>
      </c>
      <c r="F1998" s="9">
        <v>38</v>
      </c>
      <c r="G1998" s="9">
        <v>426</v>
      </c>
      <c r="H1998" s="5" t="s">
        <v>20</v>
      </c>
      <c r="I1998" s="5" t="s">
        <v>5052</v>
      </c>
      <c r="J1998" s="12" t="str">
        <f>HYPERLINK("https://www.boe.es/gazeta/dias/1804/05/11/pdfs/GMD-1804-38.pdf#page=12","Abrir facsímil")</f>
        <v>Abrir facsímil</v>
      </c>
      <c r="K1998" s="15" t="s">
        <v>22</v>
      </c>
    </row>
    <row r="1999" spans="1:11" ht="42" customHeight="1">
      <c r="A1999" s="4" t="s">
        <v>5053</v>
      </c>
      <c r="B1999" s="5" t="s">
        <v>5053</v>
      </c>
      <c r="C1999" s="5" t="s">
        <v>27</v>
      </c>
      <c r="D1999" s="5" t="s">
        <v>28</v>
      </c>
      <c r="E1999" s="5" t="s">
        <v>1020</v>
      </c>
      <c r="F1999" s="9">
        <v>103</v>
      </c>
      <c r="G1999" s="9">
        <v>1146</v>
      </c>
      <c r="H1999" s="5" t="s">
        <v>20</v>
      </c>
      <c r="I1999" s="5" t="s">
        <v>5054</v>
      </c>
      <c r="J1999" s="12" t="str">
        <f>HYPERLINK("https://www.boe.es/gazeta/dias/1804/12/25/pdfs/GMD-1804-103.pdf#page=6","Abrir facsímil")</f>
        <v>Abrir facsímil</v>
      </c>
      <c r="K1999" s="15" t="s">
        <v>22</v>
      </c>
    </row>
    <row r="2000" spans="1:11" ht="42" customHeight="1">
      <c r="A2000" s="4" t="s">
        <v>5055</v>
      </c>
      <c r="B2000" s="5" t="s">
        <v>5056</v>
      </c>
      <c r="C2000" s="5" t="s">
        <v>27</v>
      </c>
      <c r="D2000" s="5" t="s">
        <v>28</v>
      </c>
      <c r="E2000" s="5" t="s">
        <v>159</v>
      </c>
      <c r="F2000" s="9">
        <v>15</v>
      </c>
      <c r="G2000" s="9">
        <v>163</v>
      </c>
      <c r="H2000" s="5" t="s">
        <v>20</v>
      </c>
      <c r="I2000" s="5" t="s">
        <v>5057</v>
      </c>
      <c r="J2000" s="12" t="str">
        <f>HYPERLINK("https://www.boe.es/gazeta/dias/1804/02/21/pdfs/GMD-1804-15.pdf#page=7","Abrir facsímil")</f>
        <v>Abrir facsímil</v>
      </c>
      <c r="K2000" s="15" t="s">
        <v>22</v>
      </c>
    </row>
    <row r="2001" spans="1:11" ht="42" customHeight="1">
      <c r="A2001" s="4" t="s">
        <v>5058</v>
      </c>
      <c r="B2001" s="5" t="s">
        <v>5059</v>
      </c>
      <c r="C2001" s="5" t="s">
        <v>27</v>
      </c>
      <c r="D2001" s="5" t="s">
        <v>28</v>
      </c>
      <c r="E2001" s="5" t="s">
        <v>208</v>
      </c>
      <c r="F2001" s="9">
        <v>97</v>
      </c>
      <c r="G2001" s="9">
        <v>1082</v>
      </c>
      <c r="H2001" s="5" t="s">
        <v>20</v>
      </c>
      <c r="I2001" s="5" t="s">
        <v>5060</v>
      </c>
      <c r="J2001" s="12" t="str">
        <f>HYPERLINK("https://www.boe.es/gazeta/dias/1804/12/04/pdfs/GMD-1804-97.pdf#page=10","Abrir facsímil")</f>
        <v>Abrir facsímil</v>
      </c>
      <c r="K2001" s="15" t="s">
        <v>22</v>
      </c>
    </row>
    <row r="2002" spans="1:11" ht="42" customHeight="1">
      <c r="A2002" s="4" t="s">
        <v>5061</v>
      </c>
      <c r="B2002" s="5" t="s">
        <v>5061</v>
      </c>
      <c r="C2002" s="5" t="s">
        <v>17</v>
      </c>
      <c r="D2002" s="5" t="s">
        <v>18</v>
      </c>
      <c r="E2002" s="5" t="s">
        <v>354</v>
      </c>
      <c r="F2002" s="9">
        <v>1</v>
      </c>
      <c r="G2002" s="9">
        <v>6</v>
      </c>
      <c r="H2002" s="5" t="s">
        <v>20</v>
      </c>
      <c r="I2002" s="5" t="s">
        <v>5062</v>
      </c>
      <c r="J2002" s="12" t="str">
        <f>HYPERLINK("https://www.boe.es/gazeta/dias/1804/01/03/pdfs/GMD-1804-1.pdf#page=6","Abrir facsímil")</f>
        <v>Abrir facsímil</v>
      </c>
      <c r="K2002" s="15" t="s">
        <v>22</v>
      </c>
    </row>
    <row r="2003" spans="1:11" ht="42" customHeight="1">
      <c r="A2003" s="4" t="s">
        <v>5063</v>
      </c>
      <c r="B2003" s="5" t="s">
        <v>5064</v>
      </c>
      <c r="C2003" s="5" t="s">
        <v>27</v>
      </c>
      <c r="D2003" s="5" t="s">
        <v>28</v>
      </c>
      <c r="E2003" s="5" t="s">
        <v>43</v>
      </c>
      <c r="F2003" s="9">
        <v>84</v>
      </c>
      <c r="G2003" s="9">
        <v>930</v>
      </c>
      <c r="H2003" s="5" t="s">
        <v>20</v>
      </c>
      <c r="I2003" s="5" t="s">
        <v>5065</v>
      </c>
      <c r="J2003" s="12" t="str">
        <f>HYPERLINK("https://www.boe.es/gazeta/dias/1804/10/19/pdfs/GMD-1804-84.pdf#page=8","Abrir facsímil")</f>
        <v>Abrir facsímil</v>
      </c>
      <c r="K2003" s="15" t="s">
        <v>22</v>
      </c>
    </row>
    <row r="2004" spans="1:11" ht="42" customHeight="1">
      <c r="A2004" s="4" t="s">
        <v>5066</v>
      </c>
      <c r="B2004" s="5" t="s">
        <v>5066</v>
      </c>
      <c r="C2004" s="5" t="s">
        <v>27</v>
      </c>
      <c r="D2004" s="5" t="s">
        <v>28</v>
      </c>
      <c r="E2004" s="5" t="s">
        <v>666</v>
      </c>
      <c r="F2004" s="9">
        <v>57</v>
      </c>
      <c r="G2004" s="9">
        <v>626</v>
      </c>
      <c r="H2004" s="5" t="s">
        <v>20</v>
      </c>
      <c r="I2004" s="5" t="s">
        <v>5067</v>
      </c>
      <c r="J2004" s="12" t="str">
        <f>HYPERLINK("https://www.boe.es/gazeta/dias/1804/07/17/pdfs/GMD-1804-57.pdf#page=4","Abrir facsímil")</f>
        <v>Abrir facsímil</v>
      </c>
      <c r="K2004" s="15" t="s">
        <v>22</v>
      </c>
    </row>
    <row r="2005" spans="1:11" ht="42" customHeight="1">
      <c r="A2005" s="4" t="s">
        <v>5068</v>
      </c>
      <c r="B2005" s="5" t="s">
        <v>5069</v>
      </c>
      <c r="C2005" s="5" t="s">
        <v>17</v>
      </c>
      <c r="D2005" s="5" t="s">
        <v>18</v>
      </c>
      <c r="E2005" s="5" t="s">
        <v>37</v>
      </c>
      <c r="F2005" s="9">
        <v>29</v>
      </c>
      <c r="G2005" s="9">
        <v>318</v>
      </c>
      <c r="H2005" s="5" t="s">
        <v>20</v>
      </c>
      <c r="I2005" s="5" t="s">
        <v>5070</v>
      </c>
      <c r="J2005" s="12" t="str">
        <f>HYPERLINK("https://www.boe.es/gazeta/dias/1804/04/10/pdfs/GMD-1804-29.pdf#page=8","Abrir facsímil")</f>
        <v>Abrir facsímil</v>
      </c>
      <c r="K2005" s="15" t="s">
        <v>22</v>
      </c>
    </row>
    <row r="2006" spans="1:11" ht="42" customHeight="1">
      <c r="A2006" s="4" t="s">
        <v>5071</v>
      </c>
      <c r="B2006" s="5" t="s">
        <v>5071</v>
      </c>
      <c r="C2006" s="5" t="s">
        <v>85</v>
      </c>
      <c r="D2006" s="5" t="s">
        <v>86</v>
      </c>
      <c r="E2006" s="5" t="s">
        <v>151</v>
      </c>
      <c r="F2006" s="9">
        <v>13</v>
      </c>
      <c r="G2006" s="9">
        <v>144</v>
      </c>
      <c r="H2006" s="5" t="s">
        <v>20</v>
      </c>
      <c r="I2006" s="5" t="s">
        <v>5072</v>
      </c>
      <c r="J2006" s="12" t="str">
        <f>HYPERLINK("https://www.boe.es/gazeta/dias/1804/02/14/pdfs/GMD-1804-13.pdf#page=8","Abrir facsímil")</f>
        <v>Abrir facsímil</v>
      </c>
      <c r="K2006" s="15" t="s">
        <v>22</v>
      </c>
    </row>
    <row r="2007" spans="1:11" ht="42" customHeight="1">
      <c r="A2007" s="4" t="s">
        <v>5071</v>
      </c>
      <c r="B2007" s="5" t="s">
        <v>5071</v>
      </c>
      <c r="C2007" s="5" t="s">
        <v>57</v>
      </c>
      <c r="D2007" s="5" t="s">
        <v>58</v>
      </c>
      <c r="E2007" s="5" t="s">
        <v>77</v>
      </c>
      <c r="F2007" s="9">
        <v>32</v>
      </c>
      <c r="G2007" s="9">
        <v>353</v>
      </c>
      <c r="H2007" s="5" t="s">
        <v>20</v>
      </c>
      <c r="I2007" s="5" t="s">
        <v>5073</v>
      </c>
      <c r="J2007" s="12" t="str">
        <f>HYPERLINK("https://www.boe.es/gazeta/dias/1804/04/20/pdfs/GMD-1804-32.pdf#page=7","Abrir facsímil")</f>
        <v>Abrir facsímil</v>
      </c>
      <c r="K2007" s="15" t="s">
        <v>22</v>
      </c>
    </row>
    <row r="2008" spans="1:11" ht="42" customHeight="1">
      <c r="A2008" s="4" t="s">
        <v>5071</v>
      </c>
      <c r="B2008" s="5" t="s">
        <v>5071</v>
      </c>
      <c r="C2008" s="5" t="s">
        <v>17</v>
      </c>
      <c r="D2008" s="5" t="s">
        <v>18</v>
      </c>
      <c r="E2008" s="5" t="s">
        <v>453</v>
      </c>
      <c r="F2008" s="9">
        <v>33</v>
      </c>
      <c r="G2008" s="9">
        <v>368</v>
      </c>
      <c r="H2008" s="5" t="s">
        <v>20</v>
      </c>
      <c r="I2008" s="5" t="s">
        <v>5074</v>
      </c>
      <c r="J2008" s="12" t="str">
        <f>HYPERLINK("https://www.boe.es/gazeta/dias/1804/04/24/pdfs/GMD-1804-33.pdf#page=10","Abrir facsímil")</f>
        <v>Abrir facsímil</v>
      </c>
      <c r="K2008" s="15" t="s">
        <v>22</v>
      </c>
    </row>
    <row r="2009" spans="1:11" ht="42" customHeight="1">
      <c r="A2009" s="4" t="s">
        <v>5075</v>
      </c>
      <c r="B2009" s="5" t="s">
        <v>5075</v>
      </c>
      <c r="C2009" s="5" t="s">
        <v>57</v>
      </c>
      <c r="D2009" s="5" t="s">
        <v>58</v>
      </c>
      <c r="E2009" s="5" t="s">
        <v>245</v>
      </c>
      <c r="F2009" s="9">
        <v>6</v>
      </c>
      <c r="G2009" s="9">
        <v>52</v>
      </c>
      <c r="H2009" s="5" t="s">
        <v>20</v>
      </c>
      <c r="I2009" s="5" t="s">
        <v>5076</v>
      </c>
      <c r="J2009" s="12" t="str">
        <f>HYPERLINK("https://www.boe.es/gazeta/dias/1804/01/20/pdfs/GMD-1804-6.pdf#page=4","Abrir facsímil")</f>
        <v>Abrir facsímil</v>
      </c>
      <c r="K2009" s="15" t="s">
        <v>22</v>
      </c>
    </row>
    <row r="2010" spans="1:11" ht="42" customHeight="1">
      <c r="A2010" s="4" t="s">
        <v>5075</v>
      </c>
      <c r="B2010" s="5" t="s">
        <v>5075</v>
      </c>
      <c r="C2010" s="5" t="s">
        <v>57</v>
      </c>
      <c r="D2010" s="5" t="s">
        <v>58</v>
      </c>
      <c r="E2010" s="5" t="s">
        <v>245</v>
      </c>
      <c r="F2010" s="9">
        <v>6</v>
      </c>
      <c r="G2010" s="9">
        <v>53</v>
      </c>
      <c r="H2010" s="5" t="s">
        <v>20</v>
      </c>
      <c r="I2010" s="5" t="s">
        <v>5077</v>
      </c>
      <c r="J2010" s="12" t="str">
        <f>HYPERLINK("https://www.boe.es/gazeta/dias/1804/01/20/pdfs/GMD-1804-6.pdf#page=5","Abrir facsímil")</f>
        <v>Abrir facsímil</v>
      </c>
      <c r="K2010" s="15" t="s">
        <v>22</v>
      </c>
    </row>
    <row r="2011" spans="1:11" ht="42" customHeight="1">
      <c r="A2011" s="4" t="s">
        <v>5075</v>
      </c>
      <c r="B2011" s="5" t="s">
        <v>5075</v>
      </c>
      <c r="C2011" s="5" t="s">
        <v>57</v>
      </c>
      <c r="D2011" s="5" t="s">
        <v>58</v>
      </c>
      <c r="E2011" s="5" t="s">
        <v>1337</v>
      </c>
      <c r="F2011" s="9">
        <v>7</v>
      </c>
      <c r="G2011" s="9">
        <v>65</v>
      </c>
      <c r="H2011" s="5" t="s">
        <v>20</v>
      </c>
      <c r="I2011" s="5" t="s">
        <v>5078</v>
      </c>
      <c r="J2011" s="12" t="str">
        <f>HYPERLINK("https://www.boe.es/gazeta/dias/1804/01/24/pdfs/GMD-1804-7.pdf#page=5","Abrir facsímil")</f>
        <v>Abrir facsímil</v>
      </c>
      <c r="K2011" s="15" t="s">
        <v>22</v>
      </c>
    </row>
    <row r="2012" spans="1:11" ht="42" customHeight="1">
      <c r="A2012" s="4" t="s">
        <v>5075</v>
      </c>
      <c r="B2012" s="5" t="s">
        <v>5075</v>
      </c>
      <c r="C2012" s="5" t="s">
        <v>57</v>
      </c>
      <c r="D2012" s="5" t="s">
        <v>58</v>
      </c>
      <c r="E2012" s="5" t="s">
        <v>103</v>
      </c>
      <c r="F2012" s="9">
        <v>11</v>
      </c>
      <c r="G2012" s="9">
        <v>117</v>
      </c>
      <c r="H2012" s="5" t="s">
        <v>20</v>
      </c>
      <c r="I2012" s="5" t="s">
        <v>5079</v>
      </c>
      <c r="J2012" s="12" t="str">
        <f>HYPERLINK("https://www.boe.es/gazeta/dias/1804/02/07/pdfs/GMD-1804-11.pdf#page=5","Abrir facsímil")</f>
        <v>Abrir facsímil</v>
      </c>
      <c r="K2012" s="15" t="s">
        <v>22</v>
      </c>
    </row>
    <row r="2013" spans="1:11" ht="42" customHeight="1">
      <c r="A2013" s="4" t="s">
        <v>5075</v>
      </c>
      <c r="B2013" s="5" t="s">
        <v>5075</v>
      </c>
      <c r="C2013" s="5" t="s">
        <v>57</v>
      </c>
      <c r="D2013" s="5" t="s">
        <v>58</v>
      </c>
      <c r="E2013" s="5" t="s">
        <v>77</v>
      </c>
      <c r="F2013" s="9">
        <v>32</v>
      </c>
      <c r="G2013" s="9">
        <v>350</v>
      </c>
      <c r="H2013" s="5" t="s">
        <v>20</v>
      </c>
      <c r="I2013" s="5" t="s">
        <v>5080</v>
      </c>
      <c r="J2013" s="12" t="str">
        <f>HYPERLINK("https://www.boe.es/gazeta/dias/1804/04/20/pdfs/GMD-1804-32.pdf#page=4","Abrir facsímil")</f>
        <v>Abrir facsímil</v>
      </c>
      <c r="K2013" s="15" t="s">
        <v>22</v>
      </c>
    </row>
    <row r="2014" spans="1:11" ht="42" customHeight="1">
      <c r="A2014" s="4" t="s">
        <v>5075</v>
      </c>
      <c r="B2014" s="5" t="s">
        <v>5075</v>
      </c>
      <c r="C2014" s="5" t="s">
        <v>57</v>
      </c>
      <c r="D2014" s="5" t="s">
        <v>58</v>
      </c>
      <c r="E2014" s="5" t="s">
        <v>453</v>
      </c>
      <c r="F2014" s="9">
        <v>33</v>
      </c>
      <c r="G2014" s="9">
        <v>363</v>
      </c>
      <c r="H2014" s="5" t="s">
        <v>20</v>
      </c>
      <c r="I2014" s="5" t="s">
        <v>5081</v>
      </c>
      <c r="J2014" s="12" t="str">
        <f>HYPERLINK("https://www.boe.es/gazeta/dias/1804/04/24/pdfs/GMD-1804-33.pdf#page=5","Abrir facsímil")</f>
        <v>Abrir facsímil</v>
      </c>
      <c r="K2014" s="15" t="s">
        <v>22</v>
      </c>
    </row>
    <row r="2015" spans="1:11" ht="42" customHeight="1">
      <c r="A2015" s="4" t="s">
        <v>5075</v>
      </c>
      <c r="B2015" s="5" t="s">
        <v>5075</v>
      </c>
      <c r="C2015" s="5" t="s">
        <v>57</v>
      </c>
      <c r="D2015" s="5" t="s">
        <v>58</v>
      </c>
      <c r="E2015" s="5" t="s">
        <v>172</v>
      </c>
      <c r="F2015" s="9">
        <v>38</v>
      </c>
      <c r="G2015" s="9">
        <v>419</v>
      </c>
      <c r="H2015" s="5" t="s">
        <v>20</v>
      </c>
      <c r="I2015" s="5" t="s">
        <v>5082</v>
      </c>
      <c r="J2015" s="12" t="str">
        <f>HYPERLINK("https://www.boe.es/gazeta/dias/1804/05/11/pdfs/GMD-1804-38.pdf#page=5","Abrir facsímil")</f>
        <v>Abrir facsímil</v>
      </c>
      <c r="K2015" s="15" t="s">
        <v>22</v>
      </c>
    </row>
    <row r="2016" spans="1:11" ht="42" customHeight="1">
      <c r="A2016" s="4" t="s">
        <v>5075</v>
      </c>
      <c r="B2016" s="5" t="s">
        <v>5075</v>
      </c>
      <c r="C2016" s="5" t="s">
        <v>57</v>
      </c>
      <c r="D2016" s="5" t="s">
        <v>58</v>
      </c>
      <c r="E2016" s="5" t="s">
        <v>199</v>
      </c>
      <c r="F2016" s="9">
        <v>46</v>
      </c>
      <c r="G2016" s="9">
        <v>506</v>
      </c>
      <c r="H2016" s="5" t="s">
        <v>20</v>
      </c>
      <c r="I2016" s="5" t="s">
        <v>5083</v>
      </c>
      <c r="J2016" s="12" t="str">
        <f>HYPERLINK("https://www.boe.es/gazeta/dias/1804/06/08/pdfs/GMD-1804-46.pdf#page=4","Abrir facsímil")</f>
        <v>Abrir facsímil</v>
      </c>
      <c r="K2016" s="15" t="s">
        <v>22</v>
      </c>
    </row>
    <row r="2017" spans="1:11" ht="42" customHeight="1">
      <c r="A2017" s="4" t="s">
        <v>5075</v>
      </c>
      <c r="B2017" s="5" t="s">
        <v>5075</v>
      </c>
      <c r="C2017" s="5" t="s">
        <v>57</v>
      </c>
      <c r="D2017" s="5" t="s">
        <v>58</v>
      </c>
      <c r="E2017" s="5" t="s">
        <v>199</v>
      </c>
      <c r="F2017" s="9">
        <v>46</v>
      </c>
      <c r="G2017" s="9">
        <v>508</v>
      </c>
      <c r="H2017" s="5" t="s">
        <v>20</v>
      </c>
      <c r="I2017" s="5" t="s">
        <v>5084</v>
      </c>
      <c r="J2017" s="12" t="str">
        <f>HYPERLINK("https://www.boe.es/gazeta/dias/1804/06/08/pdfs/GMD-1804-46.pdf#page=6","Abrir facsímil")</f>
        <v>Abrir facsímil</v>
      </c>
      <c r="K2017" s="15" t="s">
        <v>22</v>
      </c>
    </row>
    <row r="2018" spans="1:11" ht="42" customHeight="1">
      <c r="A2018" s="4" t="s">
        <v>5075</v>
      </c>
      <c r="B2018" s="5" t="s">
        <v>5075</v>
      </c>
      <c r="C2018" s="5" t="s">
        <v>57</v>
      </c>
      <c r="D2018" s="5" t="s">
        <v>58</v>
      </c>
      <c r="E2018" s="5" t="s">
        <v>199</v>
      </c>
      <c r="F2018" s="9">
        <v>46</v>
      </c>
      <c r="G2018" s="9">
        <v>509</v>
      </c>
      <c r="H2018" s="5" t="s">
        <v>20</v>
      </c>
      <c r="I2018" s="5" t="s">
        <v>5085</v>
      </c>
      <c r="J2018" s="12" t="str">
        <f>HYPERLINK("https://www.boe.es/gazeta/dias/1804/06/08/pdfs/GMD-1804-46.pdf#page=7","Abrir facsímil")</f>
        <v>Abrir facsímil</v>
      </c>
      <c r="K2018" s="15" t="s">
        <v>22</v>
      </c>
    </row>
    <row r="2019" spans="1:11" ht="42" customHeight="1">
      <c r="A2019" s="4" t="s">
        <v>5075</v>
      </c>
      <c r="B2019" s="5" t="s">
        <v>5075</v>
      </c>
      <c r="C2019" s="5" t="s">
        <v>17</v>
      </c>
      <c r="D2019" s="5" t="s">
        <v>18</v>
      </c>
      <c r="E2019" s="5" t="s">
        <v>421</v>
      </c>
      <c r="F2019" s="9">
        <v>47</v>
      </c>
      <c r="G2019" s="9">
        <v>524</v>
      </c>
      <c r="H2019" s="5" t="s">
        <v>20</v>
      </c>
      <c r="I2019" s="5" t="s">
        <v>5086</v>
      </c>
      <c r="J2019" s="12" t="str">
        <f>HYPERLINK("https://www.boe.es/gazeta/dias/1804/06/12/pdfs/GMD-1804-47.pdf#page=6","Abrir facsímil")</f>
        <v>Abrir facsímil</v>
      </c>
      <c r="K2019" s="15" t="s">
        <v>22</v>
      </c>
    </row>
    <row r="2020" spans="1:11" ht="42" customHeight="1">
      <c r="A2020" s="4" t="s">
        <v>5075</v>
      </c>
      <c r="B2020" s="5" t="s">
        <v>5075</v>
      </c>
      <c r="C2020" s="5" t="s">
        <v>85</v>
      </c>
      <c r="D2020" s="5" t="s">
        <v>86</v>
      </c>
      <c r="E2020" s="5" t="s">
        <v>264</v>
      </c>
      <c r="F2020" s="9">
        <v>49</v>
      </c>
      <c r="G2020" s="9">
        <v>542</v>
      </c>
      <c r="H2020" s="5" t="s">
        <v>20</v>
      </c>
      <c r="I2020" s="5" t="s">
        <v>5087</v>
      </c>
      <c r="J2020" s="12" t="str">
        <f>HYPERLINK("https://www.boe.es/gazeta/dias/1804/06/19/pdfs/GMD-1804-49.pdf#page=4","Abrir facsímil")</f>
        <v>Abrir facsímil</v>
      </c>
      <c r="K2020" s="15" t="s">
        <v>22</v>
      </c>
    </row>
    <row r="2021" spans="1:11" ht="42" customHeight="1">
      <c r="A2021" s="4" t="s">
        <v>5075</v>
      </c>
      <c r="B2021" s="5" t="s">
        <v>5075</v>
      </c>
      <c r="C2021" s="5" t="s">
        <v>27</v>
      </c>
      <c r="D2021" s="5" t="s">
        <v>28</v>
      </c>
      <c r="E2021" s="5" t="s">
        <v>97</v>
      </c>
      <c r="F2021" s="9">
        <v>50</v>
      </c>
      <c r="G2021" s="9">
        <v>550</v>
      </c>
      <c r="H2021" s="5" t="s">
        <v>20</v>
      </c>
      <c r="I2021" s="5" t="s">
        <v>5088</v>
      </c>
      <c r="J2021" s="12" t="str">
        <f>HYPERLINK("https://www.boe.es/gazeta/dias/1804/06/22/pdfs/GMD-1804-50.pdf#page=4","Abrir facsímil")</f>
        <v>Abrir facsímil</v>
      </c>
      <c r="K2021" s="15" t="s">
        <v>22</v>
      </c>
    </row>
    <row r="2022" spans="1:11" ht="42" customHeight="1">
      <c r="A2022" s="4" t="s">
        <v>5075</v>
      </c>
      <c r="B2022" s="5" t="s">
        <v>5075</v>
      </c>
      <c r="C2022" s="5" t="s">
        <v>27</v>
      </c>
      <c r="D2022" s="5" t="s">
        <v>28</v>
      </c>
      <c r="E2022" s="5" t="s">
        <v>97</v>
      </c>
      <c r="F2022" s="9">
        <v>50</v>
      </c>
      <c r="G2022" s="9">
        <v>551</v>
      </c>
      <c r="H2022" s="5" t="s">
        <v>20</v>
      </c>
      <c r="I2022" s="5" t="s">
        <v>5089</v>
      </c>
      <c r="J2022" s="12" t="str">
        <f>HYPERLINK("https://www.boe.es/gazeta/dias/1804/06/22/pdfs/GMD-1804-50.pdf#page=5","Abrir facsímil")</f>
        <v>Abrir facsímil</v>
      </c>
      <c r="K2022" s="15" t="s">
        <v>22</v>
      </c>
    </row>
    <row r="2023" spans="1:11" ht="42" customHeight="1">
      <c r="A2023" s="4" t="s">
        <v>5075</v>
      </c>
      <c r="B2023" s="5" t="s">
        <v>5075</v>
      </c>
      <c r="C2023" s="5" t="s">
        <v>57</v>
      </c>
      <c r="D2023" s="5" t="s">
        <v>58</v>
      </c>
      <c r="E2023" s="5" t="s">
        <v>54</v>
      </c>
      <c r="F2023" s="9">
        <v>63</v>
      </c>
      <c r="G2023" s="9">
        <v>696</v>
      </c>
      <c r="H2023" s="5" t="s">
        <v>20</v>
      </c>
      <c r="I2023" s="5" t="s">
        <v>5090</v>
      </c>
      <c r="J2023" s="12" t="str">
        <f>HYPERLINK("https://www.boe.es/gazeta/dias/1804/08/07/pdfs/GMD-1804-63.pdf#page=6","Abrir facsímil")</f>
        <v>Abrir facsímil</v>
      </c>
      <c r="K2023" s="15" t="s">
        <v>22</v>
      </c>
    </row>
    <row r="2024" spans="1:11" ht="42" customHeight="1">
      <c r="A2024" s="4" t="s">
        <v>5091</v>
      </c>
      <c r="B2024" s="5" t="s">
        <v>5091</v>
      </c>
      <c r="C2024" s="5" t="s">
        <v>57</v>
      </c>
      <c r="D2024" s="5" t="s">
        <v>58</v>
      </c>
      <c r="E2024" s="5" t="s">
        <v>59</v>
      </c>
      <c r="F2024" s="9">
        <v>55</v>
      </c>
      <c r="G2024" s="9">
        <v>604</v>
      </c>
      <c r="H2024" s="5" t="s">
        <v>20</v>
      </c>
      <c r="I2024" s="5" t="s">
        <v>5092</v>
      </c>
      <c r="J2024" s="12" t="str">
        <f>HYPERLINK("https://www.boe.es/gazeta/dias/1804/07/10/pdfs/GMD-1804-55.pdf#page=2","Abrir facsímil")</f>
        <v>Abrir facsímil</v>
      </c>
      <c r="K2024" s="15" t="s">
        <v>22</v>
      </c>
    </row>
    <row r="2025" spans="1:11" ht="42" customHeight="1">
      <c r="A2025" s="4" t="s">
        <v>5091</v>
      </c>
      <c r="B2025" s="5" t="s">
        <v>5091</v>
      </c>
      <c r="C2025" s="5" t="s">
        <v>27</v>
      </c>
      <c r="D2025" s="5" t="s">
        <v>28</v>
      </c>
      <c r="E2025" s="5" t="s">
        <v>175</v>
      </c>
      <c r="F2025" s="9">
        <v>58</v>
      </c>
      <c r="G2025" s="9">
        <v>639</v>
      </c>
      <c r="H2025" s="5" t="s">
        <v>20</v>
      </c>
      <c r="I2025" s="5" t="s">
        <v>5093</v>
      </c>
      <c r="J2025" s="12" t="str">
        <f>HYPERLINK("https://www.boe.es/gazeta/dias/1804/07/20/pdfs/GMD-1804-58.pdf#page=5","Abrir facsímil")</f>
        <v>Abrir facsímil</v>
      </c>
      <c r="K2025" s="15" t="s">
        <v>22</v>
      </c>
    </row>
    <row r="2026" spans="1:11" ht="42" customHeight="1">
      <c r="A2026" s="4" t="s">
        <v>5094</v>
      </c>
      <c r="B2026" s="5" t="s">
        <v>5095</v>
      </c>
      <c r="C2026" s="5" t="s">
        <v>27</v>
      </c>
      <c r="D2026" s="5" t="s">
        <v>28</v>
      </c>
      <c r="E2026" s="5" t="s">
        <v>103</v>
      </c>
      <c r="F2026" s="9">
        <v>11</v>
      </c>
      <c r="G2026" s="9">
        <v>117</v>
      </c>
      <c r="H2026" s="5" t="s">
        <v>20</v>
      </c>
      <c r="I2026" s="5" t="s">
        <v>5096</v>
      </c>
      <c r="J2026" s="12" t="str">
        <f>HYPERLINK("https://www.boe.es/gazeta/dias/1804/02/07/pdfs/GMD-1804-11.pdf#page=5","Abrir facsímil")</f>
        <v>Abrir facsímil</v>
      </c>
      <c r="K2026" s="15" t="s">
        <v>22</v>
      </c>
    </row>
    <row r="2027" spans="1:11" ht="42" customHeight="1">
      <c r="A2027" s="4" t="s">
        <v>5094</v>
      </c>
      <c r="B2027" s="5" t="s">
        <v>5095</v>
      </c>
      <c r="C2027" s="5" t="s">
        <v>27</v>
      </c>
      <c r="D2027" s="5" t="s">
        <v>28</v>
      </c>
      <c r="E2027" s="5" t="s">
        <v>33</v>
      </c>
      <c r="F2027" s="9">
        <v>48</v>
      </c>
      <c r="G2027" s="9">
        <v>532</v>
      </c>
      <c r="H2027" s="5" t="s">
        <v>20</v>
      </c>
      <c r="I2027" s="5" t="s">
        <v>5097</v>
      </c>
      <c r="J2027" s="12" t="str">
        <f>HYPERLINK("https://www.boe.es/gazeta/dias/1804/06/15/pdfs/GMD-1804-48.pdf#page=2","Abrir facsímil")</f>
        <v>Abrir facsímil</v>
      </c>
      <c r="K2027" s="15" t="s">
        <v>22</v>
      </c>
    </row>
    <row r="2028" spans="1:11" ht="42" customHeight="1">
      <c r="A2028" s="4" t="s">
        <v>5098</v>
      </c>
      <c r="B2028" s="5" t="s">
        <v>5098</v>
      </c>
      <c r="C2028" s="5" t="s">
        <v>57</v>
      </c>
      <c r="D2028" s="5" t="s">
        <v>58</v>
      </c>
      <c r="E2028" s="5" t="s">
        <v>670</v>
      </c>
      <c r="F2028" s="9">
        <v>41</v>
      </c>
      <c r="G2028" s="9">
        <v>456</v>
      </c>
      <c r="H2028" s="5" t="s">
        <v>20</v>
      </c>
      <c r="I2028" s="5" t="s">
        <v>5099</v>
      </c>
      <c r="J2028" s="12" t="str">
        <f>HYPERLINK("https://www.boe.es/gazeta/dias/1804/05/22/pdfs/GMD-1804-41.pdf#page=6","Abrir facsímil")</f>
        <v>Abrir facsímil</v>
      </c>
      <c r="K2028" s="15" t="s">
        <v>22</v>
      </c>
    </row>
    <row r="2029" spans="1:11" ht="42" customHeight="1">
      <c r="A2029" s="4" t="s">
        <v>5098</v>
      </c>
      <c r="B2029" s="5" t="s">
        <v>5098</v>
      </c>
      <c r="C2029" s="5" t="s">
        <v>27</v>
      </c>
      <c r="D2029" s="5" t="s">
        <v>28</v>
      </c>
      <c r="E2029" s="5" t="s">
        <v>33</v>
      </c>
      <c r="F2029" s="9">
        <v>48</v>
      </c>
      <c r="G2029" s="9">
        <v>534</v>
      </c>
      <c r="H2029" s="5" t="s">
        <v>20</v>
      </c>
      <c r="I2029" s="5" t="s">
        <v>5100</v>
      </c>
      <c r="J2029" s="12" t="str">
        <f>HYPERLINK("https://www.boe.es/gazeta/dias/1804/06/15/pdfs/GMD-1804-48.pdf#page=4","Abrir facsímil")</f>
        <v>Abrir facsímil</v>
      </c>
      <c r="K2029" s="15" t="s">
        <v>22</v>
      </c>
    </row>
    <row r="2030" spans="1:11" ht="42" customHeight="1">
      <c r="A2030" s="4" t="s">
        <v>5098</v>
      </c>
      <c r="B2030" s="5" t="s">
        <v>5098</v>
      </c>
      <c r="C2030" s="5" t="s">
        <v>27</v>
      </c>
      <c r="D2030" s="5" t="s">
        <v>28</v>
      </c>
      <c r="E2030" s="5" t="s">
        <v>1020</v>
      </c>
      <c r="F2030" s="9">
        <v>103</v>
      </c>
      <c r="G2030" s="9">
        <v>1146</v>
      </c>
      <c r="H2030" s="5" t="s">
        <v>20</v>
      </c>
      <c r="I2030" s="5" t="s">
        <v>5101</v>
      </c>
      <c r="J2030" s="12" t="str">
        <f>HYPERLINK("https://www.boe.es/gazeta/dias/1804/12/25/pdfs/GMD-1804-103.pdf#page=6","Abrir facsímil")</f>
        <v>Abrir facsímil</v>
      </c>
      <c r="K2030" s="15" t="s">
        <v>22</v>
      </c>
    </row>
    <row r="2031" spans="1:11" ht="42" customHeight="1">
      <c r="A2031" s="4" t="s">
        <v>5102</v>
      </c>
      <c r="B2031" s="5" t="s">
        <v>5103</v>
      </c>
      <c r="C2031" s="5" t="s">
        <v>27</v>
      </c>
      <c r="D2031" s="5" t="s">
        <v>28</v>
      </c>
      <c r="E2031" s="5" t="s">
        <v>226</v>
      </c>
      <c r="F2031" s="9">
        <v>17</v>
      </c>
      <c r="G2031" s="9">
        <v>187</v>
      </c>
      <c r="H2031" s="5" t="s">
        <v>20</v>
      </c>
      <c r="I2031" s="5" t="s">
        <v>5104</v>
      </c>
      <c r="J2031" s="12" t="str">
        <f>HYPERLINK("https://www.boe.es/gazeta/dias/1804/02/28/pdfs/GMD-1804-17.pdf#page=7","Abrir facsímil")</f>
        <v>Abrir facsímil</v>
      </c>
      <c r="K2031" s="15" t="s">
        <v>22</v>
      </c>
    </row>
    <row r="2032" spans="1:11" ht="42" customHeight="1">
      <c r="A2032" s="4" t="s">
        <v>5105</v>
      </c>
      <c r="B2032" s="5" t="s">
        <v>5106</v>
      </c>
      <c r="C2032" s="5" t="s">
        <v>65</v>
      </c>
      <c r="D2032" s="5" t="s">
        <v>66</v>
      </c>
      <c r="E2032" s="5" t="s">
        <v>97</v>
      </c>
      <c r="F2032" s="9">
        <v>50</v>
      </c>
      <c r="G2032" s="9">
        <v>553</v>
      </c>
      <c r="H2032" s="5" t="s">
        <v>20</v>
      </c>
      <c r="I2032" s="5" t="s">
        <v>5107</v>
      </c>
      <c r="J2032" s="12" t="str">
        <f>HYPERLINK("https://www.boe.es/gazeta/dias/1804/06/22/pdfs/GMD-1804-50.pdf#page=7","Abrir facsímil")</f>
        <v>Abrir facsímil</v>
      </c>
      <c r="K2032" s="15" t="s">
        <v>22</v>
      </c>
    </row>
    <row r="2033" spans="1:11" ht="42" customHeight="1">
      <c r="A2033" s="4" t="s">
        <v>5108</v>
      </c>
      <c r="B2033" s="5" t="s">
        <v>5109</v>
      </c>
      <c r="C2033" s="5" t="s">
        <v>17</v>
      </c>
      <c r="D2033" s="5" t="s">
        <v>18</v>
      </c>
      <c r="E2033" s="5" t="s">
        <v>326</v>
      </c>
      <c r="F2033" s="9">
        <v>69</v>
      </c>
      <c r="G2033" s="9">
        <v>775</v>
      </c>
      <c r="H2033" s="5" t="s">
        <v>20</v>
      </c>
      <c r="I2033" s="5" t="s">
        <v>5110</v>
      </c>
      <c r="J2033" s="12" t="str">
        <f>HYPERLINK("https://www.boe.es/gazeta/dias/1804/08/28/pdfs/GMD-1804-69.pdf#page=9","Abrir facsímil")</f>
        <v>Abrir facsímil</v>
      </c>
      <c r="K2033" s="15" t="s">
        <v>22</v>
      </c>
    </row>
    <row r="2034" spans="1:11" ht="42" customHeight="1">
      <c r="A2034" s="4" t="s">
        <v>5111</v>
      </c>
      <c r="B2034" s="5" t="s">
        <v>5112</v>
      </c>
      <c r="C2034" s="5" t="s">
        <v>17</v>
      </c>
      <c r="D2034" s="5" t="s">
        <v>18</v>
      </c>
      <c r="E2034" s="5" t="s">
        <v>29</v>
      </c>
      <c r="F2034" s="9">
        <v>88</v>
      </c>
      <c r="G2034" s="9">
        <v>973</v>
      </c>
      <c r="H2034" s="5" t="s">
        <v>20</v>
      </c>
      <c r="I2034" s="5" t="s">
        <v>5113</v>
      </c>
      <c r="J2034" s="12" t="str">
        <f>HYPERLINK("https://www.boe.es/gazeta/dias/1804/11/02/pdfs/GMD-1804-88.pdf#page=5","Abrir facsímil")</f>
        <v>Abrir facsímil</v>
      </c>
      <c r="K2034" s="15" t="s">
        <v>22</v>
      </c>
    </row>
    <row r="2035" spans="1:11" ht="42" customHeight="1">
      <c r="A2035" s="4" t="s">
        <v>5114</v>
      </c>
      <c r="B2035" s="5" t="s">
        <v>5115</v>
      </c>
      <c r="C2035" s="5" t="s">
        <v>57</v>
      </c>
      <c r="D2035" s="5" t="s">
        <v>58</v>
      </c>
      <c r="E2035" s="5" t="s">
        <v>466</v>
      </c>
      <c r="F2035" s="9">
        <v>76</v>
      </c>
      <c r="G2035" s="9">
        <v>844</v>
      </c>
      <c r="H2035" s="5" t="s">
        <v>20</v>
      </c>
      <c r="I2035" s="5" t="s">
        <v>5116</v>
      </c>
      <c r="J2035" s="12" t="str">
        <f>HYPERLINK("https://www.boe.es/gazeta/dias/1804/09/21/pdfs/GMD-1804-76.pdf#page=2","Abrir facsímil")</f>
        <v>Abrir facsímil</v>
      </c>
      <c r="K2035" s="15" t="s">
        <v>22</v>
      </c>
    </row>
    <row r="2036" spans="1:11" ht="42" customHeight="1">
      <c r="A2036" s="4" t="s">
        <v>5117</v>
      </c>
      <c r="B2036" s="5" t="s">
        <v>5118</v>
      </c>
      <c r="C2036" s="5" t="s">
        <v>57</v>
      </c>
      <c r="D2036" s="5" t="s">
        <v>58</v>
      </c>
      <c r="E2036" s="5" t="s">
        <v>75</v>
      </c>
      <c r="F2036" s="9">
        <v>16</v>
      </c>
      <c r="G2036" s="9">
        <v>170</v>
      </c>
      <c r="H2036" s="5" t="s">
        <v>20</v>
      </c>
      <c r="I2036" s="5" t="s">
        <v>5119</v>
      </c>
      <c r="J2036" s="12" t="str">
        <f>HYPERLINK("https://www.boe.es/gazeta/dias/1804/02/24/pdfs/GMD-1804-16.pdf#page=6","Abrir facsímil")</f>
        <v>Abrir facsímil</v>
      </c>
      <c r="K2036" s="15" t="s">
        <v>22</v>
      </c>
    </row>
    <row r="2037" spans="1:11" ht="42" customHeight="1">
      <c r="A2037" s="4" t="s">
        <v>5117</v>
      </c>
      <c r="B2037" s="5" t="s">
        <v>5118</v>
      </c>
      <c r="C2037" s="5" t="s">
        <v>57</v>
      </c>
      <c r="D2037" s="5" t="s">
        <v>58</v>
      </c>
      <c r="E2037" s="5" t="s">
        <v>75</v>
      </c>
      <c r="F2037" s="9">
        <v>16</v>
      </c>
      <c r="G2037" s="9">
        <v>171</v>
      </c>
      <c r="H2037" s="5" t="s">
        <v>20</v>
      </c>
      <c r="I2037" s="5" t="s">
        <v>5120</v>
      </c>
      <c r="J2037" s="12" t="str">
        <f>HYPERLINK("https://www.boe.es/gazeta/dias/1804/02/24/pdfs/GMD-1804-16.pdf#page=7","Abrir facsímil")</f>
        <v>Abrir facsímil</v>
      </c>
      <c r="K2037" s="15" t="s">
        <v>22</v>
      </c>
    </row>
    <row r="2038" spans="1:11" ht="42" customHeight="1">
      <c r="A2038" s="4" t="s">
        <v>5121</v>
      </c>
      <c r="B2038" s="5" t="s">
        <v>5121</v>
      </c>
      <c r="C2038" s="5" t="s">
        <v>17</v>
      </c>
      <c r="D2038" s="5" t="s">
        <v>18</v>
      </c>
      <c r="E2038" s="5" t="s">
        <v>421</v>
      </c>
      <c r="F2038" s="9">
        <v>47</v>
      </c>
      <c r="G2038" s="9">
        <v>528</v>
      </c>
      <c r="H2038" s="5" t="s">
        <v>20</v>
      </c>
      <c r="I2038" s="5" t="s">
        <v>5122</v>
      </c>
      <c r="J2038" s="12" t="str">
        <f>HYPERLINK("https://www.boe.es/gazeta/dias/1804/06/12/pdfs/GMD-1804-47.pdf#page=10","Abrir facsímil")</f>
        <v>Abrir facsímil</v>
      </c>
      <c r="K2038" s="15" t="s">
        <v>22</v>
      </c>
    </row>
    <row r="2039" spans="1:11" ht="42" customHeight="1">
      <c r="A2039" s="4" t="s">
        <v>5123</v>
      </c>
      <c r="B2039" s="5" t="s">
        <v>5123</v>
      </c>
      <c r="C2039" s="5" t="s">
        <v>27</v>
      </c>
      <c r="D2039" s="5" t="s">
        <v>28</v>
      </c>
      <c r="E2039" s="5" t="s">
        <v>208</v>
      </c>
      <c r="F2039" s="9">
        <v>97</v>
      </c>
      <c r="G2039" s="9">
        <v>1080</v>
      </c>
      <c r="H2039" s="5" t="s">
        <v>20</v>
      </c>
      <c r="I2039" s="5" t="s">
        <v>5124</v>
      </c>
      <c r="J2039" s="12" t="str">
        <f>HYPERLINK("https://www.boe.es/gazeta/dias/1804/12/04/pdfs/GMD-1804-97.pdf#page=8","Abrir facsímil")</f>
        <v>Abrir facsímil</v>
      </c>
      <c r="K2039" s="15" t="s">
        <v>22</v>
      </c>
    </row>
    <row r="2040" spans="1:11" ht="42" customHeight="1">
      <c r="A2040" s="4" t="s">
        <v>5125</v>
      </c>
      <c r="B2040" s="5" t="s">
        <v>5125</v>
      </c>
      <c r="C2040" s="5" t="s">
        <v>57</v>
      </c>
      <c r="D2040" s="5" t="s">
        <v>58</v>
      </c>
      <c r="E2040" s="5" t="s">
        <v>298</v>
      </c>
      <c r="F2040" s="9">
        <v>10</v>
      </c>
      <c r="G2040" s="9">
        <v>103</v>
      </c>
      <c r="H2040" s="5" t="s">
        <v>20</v>
      </c>
      <c r="I2040" s="5" t="s">
        <v>5126</v>
      </c>
      <c r="J2040" s="12" t="str">
        <f>HYPERLINK("https://www.boe.es/gazeta/dias/1804/02/03/pdfs/GMD-1804-10.pdf#page=3","Abrir facsímil")</f>
        <v>Abrir facsímil</v>
      </c>
      <c r="K2040" s="15" t="s">
        <v>22</v>
      </c>
    </row>
    <row r="2041" spans="1:11" ht="42" customHeight="1">
      <c r="A2041" s="4" t="s">
        <v>5125</v>
      </c>
      <c r="B2041" s="5" t="s">
        <v>5125</v>
      </c>
      <c r="C2041" s="5" t="s">
        <v>65</v>
      </c>
      <c r="D2041" s="5" t="s">
        <v>66</v>
      </c>
      <c r="E2041" s="5" t="s">
        <v>511</v>
      </c>
      <c r="F2041" s="9">
        <v>12</v>
      </c>
      <c r="G2041" s="9">
        <v>134</v>
      </c>
      <c r="H2041" s="5" t="s">
        <v>20</v>
      </c>
      <c r="I2041" s="5" t="s">
        <v>5127</v>
      </c>
      <c r="J2041" s="12" t="str">
        <f>HYPERLINK("https://www.boe.es/gazeta/dias/1804/02/10/pdfs/GMD-1804-12.pdf#page=10","Abrir facsímil")</f>
        <v>Abrir facsímil</v>
      </c>
      <c r="K2041" s="15" t="s">
        <v>22</v>
      </c>
    </row>
    <row r="2042" spans="1:11" ht="42" customHeight="1">
      <c r="A2042" s="4" t="s">
        <v>5125</v>
      </c>
      <c r="B2042" s="5" t="s">
        <v>5125</v>
      </c>
      <c r="C2042" s="5" t="s">
        <v>57</v>
      </c>
      <c r="D2042" s="5" t="s">
        <v>58</v>
      </c>
      <c r="E2042" s="5" t="s">
        <v>1278</v>
      </c>
      <c r="F2042" s="9">
        <v>37</v>
      </c>
      <c r="G2042" s="9">
        <v>408</v>
      </c>
      <c r="H2042" s="5" t="s">
        <v>20</v>
      </c>
      <c r="I2042" s="5" t="s">
        <v>5128</v>
      </c>
      <c r="J2042" s="12" t="str">
        <f>HYPERLINK("https://www.boe.es/gazeta/dias/1804/05/08/pdfs/GMD-1804-37.pdf#page=6","Abrir facsímil")</f>
        <v>Abrir facsímil</v>
      </c>
      <c r="K2042" s="15" t="s">
        <v>22</v>
      </c>
    </row>
    <row r="2043" spans="1:11" ht="42" customHeight="1">
      <c r="A2043" s="4" t="s">
        <v>5125</v>
      </c>
      <c r="B2043" s="5" t="s">
        <v>5125</v>
      </c>
      <c r="C2043" s="5" t="s">
        <v>57</v>
      </c>
      <c r="D2043" s="5" t="s">
        <v>58</v>
      </c>
      <c r="E2043" s="5" t="s">
        <v>794</v>
      </c>
      <c r="F2043" s="9">
        <v>42</v>
      </c>
      <c r="G2043" s="9">
        <v>468</v>
      </c>
      <c r="H2043" s="5" t="s">
        <v>20</v>
      </c>
      <c r="I2043" s="5" t="s">
        <v>5129</v>
      </c>
      <c r="J2043" s="12" t="str">
        <f>HYPERLINK("https://www.boe.es/gazeta/dias/1804/05/25/pdfs/GMD-1804-42.pdf#page=6","Abrir facsímil")</f>
        <v>Abrir facsímil</v>
      </c>
      <c r="K2043" s="15" t="s">
        <v>22</v>
      </c>
    </row>
    <row r="2044" spans="1:11" ht="42" customHeight="1">
      <c r="A2044" s="4" t="s">
        <v>5130</v>
      </c>
      <c r="B2044" s="5" t="s">
        <v>5130</v>
      </c>
      <c r="C2044" s="5" t="s">
        <v>27</v>
      </c>
      <c r="D2044" s="5" t="s">
        <v>28</v>
      </c>
      <c r="E2044" s="5" t="s">
        <v>37</v>
      </c>
      <c r="F2044" s="9">
        <v>29</v>
      </c>
      <c r="G2044" s="9">
        <v>313</v>
      </c>
      <c r="H2044" s="5" t="s">
        <v>20</v>
      </c>
      <c r="I2044" s="5" t="s">
        <v>5131</v>
      </c>
      <c r="J2044" s="12" t="str">
        <f>HYPERLINK("https://www.boe.es/gazeta/dias/1804/04/10/pdfs/GMD-1804-29.pdf#page=3","Abrir facsímil")</f>
        <v>Abrir facsímil</v>
      </c>
      <c r="K2044" s="15" t="s">
        <v>22</v>
      </c>
    </row>
    <row r="2045" spans="1:11" ht="42" customHeight="1">
      <c r="A2045" s="4" t="s">
        <v>5132</v>
      </c>
      <c r="B2045" s="5" t="s">
        <v>5132</v>
      </c>
      <c r="C2045" s="5" t="s">
        <v>65</v>
      </c>
      <c r="D2045" s="5" t="s">
        <v>66</v>
      </c>
      <c r="E2045" s="5" t="s">
        <v>547</v>
      </c>
      <c r="F2045" s="9">
        <v>68</v>
      </c>
      <c r="G2045" s="9">
        <v>766</v>
      </c>
      <c r="H2045" s="5" t="s">
        <v>20</v>
      </c>
      <c r="I2045" s="5" t="s">
        <v>5133</v>
      </c>
      <c r="J2045" s="12" t="str">
        <f>HYPERLINK("https://www.boe.es/gazeta/dias/1804/08/24/pdfs/GMD-1804-68.pdf#page=12","Abrir facsímil")</f>
        <v>Abrir facsímil</v>
      </c>
      <c r="K2045" s="15" t="s">
        <v>22</v>
      </c>
    </row>
    <row r="2046" spans="1:11" ht="42" customHeight="1">
      <c r="A2046" s="4" t="s">
        <v>5132</v>
      </c>
      <c r="B2046" s="5" t="s">
        <v>5132</v>
      </c>
      <c r="C2046" s="5" t="s">
        <v>27</v>
      </c>
      <c r="D2046" s="5" t="s">
        <v>28</v>
      </c>
      <c r="E2046" s="5" t="s">
        <v>143</v>
      </c>
      <c r="F2046" s="9">
        <v>87</v>
      </c>
      <c r="G2046" s="9">
        <v>965</v>
      </c>
      <c r="H2046" s="5" t="s">
        <v>20</v>
      </c>
      <c r="I2046" s="5" t="s">
        <v>5134</v>
      </c>
      <c r="J2046" s="12" t="str">
        <f>HYPERLINK("https://www.boe.es/gazeta/dias/1804/10/30/pdfs/GMD-1804-87.pdf#page=9","Abrir facsímil")</f>
        <v>Abrir facsímil</v>
      </c>
      <c r="K2046" s="15" t="s">
        <v>22</v>
      </c>
    </row>
    <row r="2047" spans="1:11" ht="42" customHeight="1">
      <c r="A2047" s="4" t="s">
        <v>5135</v>
      </c>
      <c r="B2047" s="5" t="s">
        <v>5135</v>
      </c>
      <c r="C2047" s="5" t="s">
        <v>65</v>
      </c>
      <c r="D2047" s="5" t="s">
        <v>66</v>
      </c>
      <c r="E2047" s="5" t="s">
        <v>526</v>
      </c>
      <c r="F2047" s="9">
        <v>95</v>
      </c>
      <c r="G2047" s="9">
        <v>1059</v>
      </c>
      <c r="H2047" s="5" t="s">
        <v>20</v>
      </c>
      <c r="I2047" s="5" t="s">
        <v>5136</v>
      </c>
      <c r="J2047" s="12" t="str">
        <f>HYPERLINK("https://www.boe.es/gazeta/dias/1804/11/27/pdfs/GMD-1804-95.pdf#page=11","Abrir facsímil")</f>
        <v>Abrir facsímil</v>
      </c>
      <c r="K2047" s="15" t="s">
        <v>22</v>
      </c>
    </row>
    <row r="2048" spans="1:11" ht="42" customHeight="1">
      <c r="A2048" s="4" t="s">
        <v>5137</v>
      </c>
      <c r="B2048" s="5" t="s">
        <v>5137</v>
      </c>
      <c r="C2048" s="5" t="s">
        <v>17</v>
      </c>
      <c r="D2048" s="5" t="s">
        <v>18</v>
      </c>
      <c r="E2048" s="5" t="s">
        <v>670</v>
      </c>
      <c r="F2048" s="9">
        <v>41</v>
      </c>
      <c r="G2048" s="9">
        <v>460</v>
      </c>
      <c r="H2048" s="5" t="s">
        <v>20</v>
      </c>
      <c r="I2048" s="5" t="s">
        <v>5138</v>
      </c>
      <c r="J2048" s="12" t="str">
        <f>HYPERLINK("https://www.boe.es/gazeta/dias/1804/05/22/pdfs/GMD-1804-41.pdf#page=10","Abrir facsímil")</f>
        <v>Abrir facsímil</v>
      </c>
      <c r="K2048" s="15" t="s">
        <v>22</v>
      </c>
    </row>
    <row r="2049" spans="1:11" ht="42" customHeight="1">
      <c r="A2049" s="4" t="s">
        <v>5139</v>
      </c>
      <c r="B2049" s="5" t="s">
        <v>5139</v>
      </c>
      <c r="C2049" s="5" t="s">
        <v>17</v>
      </c>
      <c r="D2049" s="5" t="s">
        <v>18</v>
      </c>
      <c r="E2049" s="5" t="s">
        <v>77</v>
      </c>
      <c r="F2049" s="9">
        <v>32</v>
      </c>
      <c r="G2049" s="9">
        <v>358</v>
      </c>
      <c r="H2049" s="5" t="s">
        <v>20</v>
      </c>
      <c r="I2049" s="5" t="s">
        <v>5140</v>
      </c>
      <c r="J2049" s="12" t="str">
        <f>HYPERLINK("https://www.boe.es/gazeta/dias/1804/04/20/pdfs/GMD-1804-32.pdf#page=12","Abrir facsímil")</f>
        <v>Abrir facsímil</v>
      </c>
      <c r="K2049" s="15" t="s">
        <v>22</v>
      </c>
    </row>
    <row r="2050" spans="1:11" ht="42" customHeight="1">
      <c r="A2050" s="4" t="s">
        <v>5141</v>
      </c>
      <c r="B2050" s="5" t="s">
        <v>5141</v>
      </c>
      <c r="C2050" s="5" t="s">
        <v>120</v>
      </c>
      <c r="D2050" s="5" t="s">
        <v>121</v>
      </c>
      <c r="E2050" s="5" t="s">
        <v>33</v>
      </c>
      <c r="F2050" s="9">
        <v>48</v>
      </c>
      <c r="G2050" s="9" t="s">
        <v>98</v>
      </c>
      <c r="H2050" s="5" t="s">
        <v>20</v>
      </c>
      <c r="I2050" s="5" t="s">
        <v>5142</v>
      </c>
      <c r="J2050" s="12" t="str">
        <f>HYPERLINK("https://www.boe.es/gazeta/dias/1804/06/15/pdfs/GMD-C-1804-48.pdf#page=1","Abrir facsímil")</f>
        <v>Abrir facsímil</v>
      </c>
      <c r="K2050" s="15" t="s">
        <v>22</v>
      </c>
    </row>
    <row r="2051" spans="1:11" ht="42" customHeight="1">
      <c r="A2051" s="4" t="s">
        <v>5143</v>
      </c>
      <c r="B2051" s="5" t="s">
        <v>5143</v>
      </c>
      <c r="C2051" s="5" t="s">
        <v>17</v>
      </c>
      <c r="D2051" s="5" t="s">
        <v>18</v>
      </c>
      <c r="E2051" s="5" t="s">
        <v>272</v>
      </c>
      <c r="F2051" s="9">
        <v>30</v>
      </c>
      <c r="G2051" s="9">
        <v>331</v>
      </c>
      <c r="H2051" s="5" t="s">
        <v>20</v>
      </c>
      <c r="I2051" s="5" t="s">
        <v>5144</v>
      </c>
      <c r="J2051" s="12" t="str">
        <f>HYPERLINK("https://www.boe.es/gazeta/dias/1804/04/13/pdfs/GMD-1804-30.pdf#page=9","Abrir facsímil")</f>
        <v>Abrir facsímil</v>
      </c>
      <c r="K2051" s="15" t="s">
        <v>22</v>
      </c>
    </row>
    <row r="2052" spans="1:11" ht="42" customHeight="1">
      <c r="A2052" s="4" t="s">
        <v>5145</v>
      </c>
      <c r="B2052" s="5" t="s">
        <v>5145</v>
      </c>
      <c r="C2052" s="5" t="s">
        <v>120</v>
      </c>
      <c r="D2052" s="5" t="s">
        <v>121</v>
      </c>
      <c r="E2052" s="5" t="s">
        <v>33</v>
      </c>
      <c r="F2052" s="9">
        <v>48</v>
      </c>
      <c r="G2052" s="9" t="s">
        <v>98</v>
      </c>
      <c r="H2052" s="5" t="s">
        <v>20</v>
      </c>
      <c r="I2052" s="5" t="s">
        <v>5146</v>
      </c>
      <c r="J2052" s="12" t="str">
        <f>HYPERLINK("https://www.boe.es/gazeta/dias/1804/06/15/pdfs/GMD-C-1804-48.pdf#page=1","Abrir facsímil")</f>
        <v>Abrir facsímil</v>
      </c>
      <c r="K2052" s="15" t="s">
        <v>22</v>
      </c>
    </row>
    <row r="2053" spans="1:11" ht="42" customHeight="1">
      <c r="A2053" s="4" t="s">
        <v>5145</v>
      </c>
      <c r="B2053" s="5" t="s">
        <v>5145</v>
      </c>
      <c r="C2053" s="5" t="s">
        <v>17</v>
      </c>
      <c r="D2053" s="5" t="s">
        <v>18</v>
      </c>
      <c r="E2053" s="5" t="s">
        <v>484</v>
      </c>
      <c r="F2053" s="9">
        <v>53</v>
      </c>
      <c r="G2053" s="9">
        <v>591</v>
      </c>
      <c r="H2053" s="5" t="s">
        <v>20</v>
      </c>
      <c r="I2053" s="5" t="s">
        <v>5147</v>
      </c>
      <c r="J2053" s="12" t="str">
        <f>HYPERLINK("https://www.boe.es/gazeta/dias/1804/07/03/pdfs/GMD-1804-53.pdf#page=9","Abrir facsímil")</f>
        <v>Abrir facsímil</v>
      </c>
      <c r="K2053" s="15" t="s">
        <v>22</v>
      </c>
    </row>
    <row r="2054" spans="1:11" ht="42" customHeight="1">
      <c r="A2054" s="4" t="s">
        <v>5145</v>
      </c>
      <c r="B2054" s="5" t="s">
        <v>5145</v>
      </c>
      <c r="C2054" s="5" t="s">
        <v>65</v>
      </c>
      <c r="D2054" s="5" t="s">
        <v>66</v>
      </c>
      <c r="E2054" s="5" t="s">
        <v>542</v>
      </c>
      <c r="F2054" s="9">
        <v>54</v>
      </c>
      <c r="G2054" s="9">
        <v>601</v>
      </c>
      <c r="H2054" s="5" t="s">
        <v>20</v>
      </c>
      <c r="I2054" s="5" t="s">
        <v>5148</v>
      </c>
      <c r="J2054" s="12" t="str">
        <f>HYPERLINK("https://www.boe.es/gazeta/dias/1804/07/06/pdfs/GMD-1804-54.pdf#page=7","Abrir facsímil")</f>
        <v>Abrir facsímil</v>
      </c>
      <c r="K2054" s="15" t="s">
        <v>22</v>
      </c>
    </row>
    <row r="2055" spans="1:11" ht="42" customHeight="1">
      <c r="A2055" s="4" t="s">
        <v>5145</v>
      </c>
      <c r="B2055" s="5" t="s">
        <v>5145</v>
      </c>
      <c r="C2055" s="5" t="s">
        <v>17</v>
      </c>
      <c r="D2055" s="5" t="s">
        <v>18</v>
      </c>
      <c r="E2055" s="5" t="s">
        <v>678</v>
      </c>
      <c r="F2055" s="9">
        <v>104</v>
      </c>
      <c r="G2055" s="9">
        <v>1163</v>
      </c>
      <c r="H2055" s="5" t="s">
        <v>20</v>
      </c>
      <c r="I2055" s="5" t="s">
        <v>5149</v>
      </c>
      <c r="J2055" s="12" t="str">
        <f>HYPERLINK("https://www.boe.es/gazeta/dias/1804/12/28/pdfs/GMD-1804-104.pdf#page=11","Abrir facsímil")</f>
        <v>Abrir facsímil</v>
      </c>
      <c r="K2055" s="15" t="s">
        <v>22</v>
      </c>
    </row>
    <row r="2056" spans="1:11" ht="42" customHeight="1">
      <c r="A2056" s="4" t="s">
        <v>5150</v>
      </c>
      <c r="B2056" s="5" t="s">
        <v>5150</v>
      </c>
      <c r="C2056" s="5" t="s">
        <v>120</v>
      </c>
      <c r="D2056" s="5" t="s">
        <v>121</v>
      </c>
      <c r="E2056" s="5" t="s">
        <v>33</v>
      </c>
      <c r="F2056" s="9">
        <v>48</v>
      </c>
      <c r="G2056" s="9" t="s">
        <v>819</v>
      </c>
      <c r="H2056" s="5" t="s">
        <v>20</v>
      </c>
      <c r="I2056" s="5" t="s">
        <v>5151</v>
      </c>
      <c r="J2056" s="12" t="str">
        <f>HYPERLINK("https://www.boe.es/gazeta/dias/1804/06/15/pdfs/GMD-C-1804-48.pdf#page=4","Abrir facsímil")</f>
        <v>Abrir facsímil</v>
      </c>
      <c r="K2056" s="15" t="s">
        <v>22</v>
      </c>
    </row>
    <row r="2057" spans="1:11" ht="42" customHeight="1">
      <c r="A2057" s="4" t="s">
        <v>5152</v>
      </c>
      <c r="B2057" s="5" t="s">
        <v>5152</v>
      </c>
      <c r="C2057" s="5" t="s">
        <v>27</v>
      </c>
      <c r="D2057" s="5" t="s">
        <v>28</v>
      </c>
      <c r="E2057" s="5" t="s">
        <v>1095</v>
      </c>
      <c r="F2057" s="9">
        <v>73</v>
      </c>
      <c r="G2057" s="9">
        <v>819</v>
      </c>
      <c r="H2057" s="5" t="s">
        <v>20</v>
      </c>
      <c r="I2057" s="5" t="s">
        <v>5153</v>
      </c>
      <c r="J2057" s="12" t="str">
        <f>HYPERLINK("https://www.boe.es/gazeta/dias/1804/09/11/pdfs/GMD-1804-73.pdf#page=9","Abrir facsímil")</f>
        <v>Abrir facsímil</v>
      </c>
      <c r="K2057" s="15" t="s">
        <v>22</v>
      </c>
    </row>
    <row r="2058" spans="1:11" ht="42" customHeight="1">
      <c r="A2058" s="4" t="s">
        <v>5154</v>
      </c>
      <c r="B2058" s="5" t="s">
        <v>5154</v>
      </c>
      <c r="C2058" s="5" t="s">
        <v>65</v>
      </c>
      <c r="D2058" s="5" t="s">
        <v>66</v>
      </c>
      <c r="E2058" s="5" t="s">
        <v>298</v>
      </c>
      <c r="F2058" s="9">
        <v>10</v>
      </c>
      <c r="G2058" s="9">
        <v>109</v>
      </c>
      <c r="H2058" s="5" t="s">
        <v>20</v>
      </c>
      <c r="I2058" s="5" t="s">
        <v>5155</v>
      </c>
      <c r="J2058" s="12" t="str">
        <f>HYPERLINK("https://www.boe.es/gazeta/dias/1804/02/03/pdfs/GMD-1804-10.pdf#page=9","Abrir facsímil")</f>
        <v>Abrir facsímil</v>
      </c>
      <c r="K2058" s="15" t="s">
        <v>22</v>
      </c>
    </row>
    <row r="2059" spans="1:11" ht="42" customHeight="1">
      <c r="A2059" s="4" t="s">
        <v>5156</v>
      </c>
      <c r="B2059" s="5" t="s">
        <v>5156</v>
      </c>
      <c r="C2059" s="5" t="s">
        <v>27</v>
      </c>
      <c r="D2059" s="5" t="s">
        <v>28</v>
      </c>
      <c r="E2059" s="5" t="s">
        <v>106</v>
      </c>
      <c r="F2059" s="9">
        <v>34</v>
      </c>
      <c r="G2059" s="9">
        <v>375</v>
      </c>
      <c r="H2059" s="5" t="s">
        <v>20</v>
      </c>
      <c r="I2059" s="5" t="s">
        <v>5157</v>
      </c>
      <c r="J2059" s="12" t="str">
        <f>HYPERLINK("https://www.boe.es/gazeta/dias/1804/04/27/pdfs/GMD-1804-34.pdf#page=5","Abrir facsímil")</f>
        <v>Abrir facsímil</v>
      </c>
      <c r="K2059" s="15" t="s">
        <v>22</v>
      </c>
    </row>
    <row r="2060" spans="1:11" ht="42" customHeight="1">
      <c r="A2060" s="4" t="s">
        <v>5158</v>
      </c>
      <c r="B2060" s="5" t="s">
        <v>5158</v>
      </c>
      <c r="C2060" s="5" t="s">
        <v>57</v>
      </c>
      <c r="D2060" s="5" t="s">
        <v>58</v>
      </c>
      <c r="E2060" s="5" t="s">
        <v>87</v>
      </c>
      <c r="F2060" s="9">
        <v>9</v>
      </c>
      <c r="G2060" s="9">
        <v>96</v>
      </c>
      <c r="H2060" s="5" t="s">
        <v>20</v>
      </c>
      <c r="I2060" s="5" t="s">
        <v>5159</v>
      </c>
      <c r="J2060" s="12" t="str">
        <f>HYPERLINK("https://www.boe.es/gazeta/dias/1804/01/31/pdfs/GMD-1804-9.pdf#page=8","Abrir facsímil")</f>
        <v>Abrir facsímil</v>
      </c>
      <c r="K2060" s="15" t="s">
        <v>22</v>
      </c>
    </row>
    <row r="2061" spans="1:11" ht="42" customHeight="1">
      <c r="A2061" s="4" t="s">
        <v>5160</v>
      </c>
      <c r="B2061" s="5" t="s">
        <v>5161</v>
      </c>
      <c r="C2061" s="5" t="s">
        <v>65</v>
      </c>
      <c r="D2061" s="5" t="s">
        <v>66</v>
      </c>
      <c r="E2061" s="5" t="s">
        <v>147</v>
      </c>
      <c r="F2061" s="9">
        <v>77</v>
      </c>
      <c r="G2061" s="9">
        <v>858</v>
      </c>
      <c r="H2061" s="5" t="s">
        <v>20</v>
      </c>
      <c r="I2061" s="5" t="s">
        <v>5162</v>
      </c>
      <c r="J2061" s="12" t="str">
        <f>HYPERLINK("https://www.boe.es/gazeta/dias/1804/09/25/pdfs/GMD-1804-77.pdf#page=8","Abrir facsímil")</f>
        <v>Abrir facsímil</v>
      </c>
      <c r="K2061" s="15" t="s">
        <v>22</v>
      </c>
    </row>
    <row r="2062" spans="1:11" ht="42" customHeight="1">
      <c r="A2062" s="4" t="s">
        <v>5163</v>
      </c>
      <c r="B2062" s="5" t="s">
        <v>5164</v>
      </c>
      <c r="C2062" s="5" t="s">
        <v>27</v>
      </c>
      <c r="D2062" s="5" t="s">
        <v>28</v>
      </c>
      <c r="E2062" s="5" t="s">
        <v>709</v>
      </c>
      <c r="F2062" s="9">
        <v>82</v>
      </c>
      <c r="G2062" s="9">
        <v>906</v>
      </c>
      <c r="H2062" s="5" t="s">
        <v>20</v>
      </c>
      <c r="I2062" s="5" t="s">
        <v>5165</v>
      </c>
      <c r="J2062" s="12" t="str">
        <f>HYPERLINK("https://www.boe.es/gazeta/dias/1804/10/12/pdfs/GMD-1804-82.pdf#page=8","Abrir facsímil")</f>
        <v>Abrir facsímil</v>
      </c>
      <c r="K2062" s="15" t="s">
        <v>22</v>
      </c>
    </row>
    <row r="2063" spans="1:11" ht="42" customHeight="1">
      <c r="A2063" s="4" t="s">
        <v>5166</v>
      </c>
      <c r="B2063" s="5" t="s">
        <v>5166</v>
      </c>
      <c r="C2063" s="5" t="s">
        <v>57</v>
      </c>
      <c r="D2063" s="5" t="s">
        <v>58</v>
      </c>
      <c r="E2063" s="5" t="s">
        <v>1278</v>
      </c>
      <c r="F2063" s="9">
        <v>37</v>
      </c>
      <c r="G2063" s="9">
        <v>406</v>
      </c>
      <c r="H2063" s="5" t="s">
        <v>20</v>
      </c>
      <c r="I2063" s="5" t="s">
        <v>5167</v>
      </c>
      <c r="J2063" s="12" t="str">
        <f>HYPERLINK("https://www.boe.es/gazeta/dias/1804/05/08/pdfs/GMD-1804-37.pdf#page=4","Abrir facsímil")</f>
        <v>Abrir facsímil</v>
      </c>
      <c r="K2063" s="15" t="s">
        <v>22</v>
      </c>
    </row>
    <row r="2064" spans="1:11" ht="42" customHeight="1">
      <c r="A2064" s="4" t="s">
        <v>5168</v>
      </c>
      <c r="B2064" s="5" t="s">
        <v>5168</v>
      </c>
      <c r="C2064" s="5" t="s">
        <v>17</v>
      </c>
      <c r="D2064" s="5" t="s">
        <v>18</v>
      </c>
      <c r="E2064" s="5" t="s">
        <v>1020</v>
      </c>
      <c r="F2064" s="9">
        <v>103</v>
      </c>
      <c r="G2064" s="9">
        <v>1144</v>
      </c>
      <c r="H2064" s="5" t="s">
        <v>20</v>
      </c>
      <c r="I2064" s="5" t="s">
        <v>5169</v>
      </c>
      <c r="J2064" s="12" t="str">
        <f>HYPERLINK("https://www.boe.es/gazeta/dias/1804/12/25/pdfs/GMD-1804-103.pdf#page=4","Abrir facsímil")</f>
        <v>Abrir facsímil</v>
      </c>
      <c r="K2064" s="15" t="s">
        <v>22</v>
      </c>
    </row>
    <row r="2065" spans="1:11" ht="42" customHeight="1">
      <c r="A2065" s="4" t="s">
        <v>5170</v>
      </c>
      <c r="B2065" s="5" t="s">
        <v>5170</v>
      </c>
      <c r="C2065" s="5" t="s">
        <v>65</v>
      </c>
      <c r="D2065" s="5" t="s">
        <v>66</v>
      </c>
      <c r="E2065" s="5" t="s">
        <v>67</v>
      </c>
      <c r="F2065" s="9">
        <v>59</v>
      </c>
      <c r="G2065" s="9">
        <v>656</v>
      </c>
      <c r="H2065" s="5" t="s">
        <v>20</v>
      </c>
      <c r="I2065" s="5" t="s">
        <v>5171</v>
      </c>
      <c r="J2065" s="12" t="str">
        <f>HYPERLINK("https://www.boe.es/gazeta/dias/1804/07/24/pdfs/GMD-1804-59.pdf#page=10","Abrir facsímil")</f>
        <v>Abrir facsímil</v>
      </c>
      <c r="K2065" s="15" t="s">
        <v>22</v>
      </c>
    </row>
    <row r="2066" spans="1:11" ht="42" customHeight="1">
      <c r="A2066" s="4" t="s">
        <v>5172</v>
      </c>
      <c r="B2066" s="5" t="s">
        <v>5173</v>
      </c>
      <c r="C2066" s="5" t="s">
        <v>57</v>
      </c>
      <c r="D2066" s="5" t="s">
        <v>58</v>
      </c>
      <c r="E2066" s="5" t="s">
        <v>111</v>
      </c>
      <c r="F2066" s="9">
        <v>40</v>
      </c>
      <c r="G2066" s="9">
        <v>444</v>
      </c>
      <c r="H2066" s="5" t="s">
        <v>20</v>
      </c>
      <c r="I2066" s="5" t="s">
        <v>5174</v>
      </c>
      <c r="J2066" s="12" t="str">
        <f>HYPERLINK("https://www.boe.es/gazeta/dias/1804/05/18/pdfs/GMD-1804-40.pdf#page=6","Abrir facsímil")</f>
        <v>Abrir facsímil</v>
      </c>
      <c r="K2066" s="15" t="s">
        <v>22</v>
      </c>
    </row>
    <row r="2067" spans="1:11" ht="42" customHeight="1">
      <c r="A2067" s="4" t="s">
        <v>5175</v>
      </c>
      <c r="B2067" s="5" t="s">
        <v>5176</v>
      </c>
      <c r="C2067" s="5" t="s">
        <v>57</v>
      </c>
      <c r="D2067" s="5" t="s">
        <v>58</v>
      </c>
      <c r="E2067" s="5" t="s">
        <v>199</v>
      </c>
      <c r="F2067" s="9">
        <v>46</v>
      </c>
      <c r="G2067" s="9">
        <v>506</v>
      </c>
      <c r="H2067" s="5" t="s">
        <v>20</v>
      </c>
      <c r="I2067" s="5" t="s">
        <v>5177</v>
      </c>
      <c r="J2067" s="12" t="str">
        <f>HYPERLINK("https://www.boe.es/gazeta/dias/1804/06/08/pdfs/GMD-1804-46.pdf#page=4","Abrir facsímil")</f>
        <v>Abrir facsímil</v>
      </c>
      <c r="K2067" s="15" t="s">
        <v>22</v>
      </c>
    </row>
    <row r="2068" spans="1:11" ht="42" customHeight="1">
      <c r="A2068" s="4" t="s">
        <v>5178</v>
      </c>
      <c r="B2068" s="5" t="s">
        <v>5179</v>
      </c>
      <c r="C2068" s="5" t="s">
        <v>262</v>
      </c>
      <c r="D2068" s="5" t="s">
        <v>263</v>
      </c>
      <c r="E2068" s="5" t="s">
        <v>398</v>
      </c>
      <c r="F2068" s="9">
        <v>22</v>
      </c>
      <c r="G2068" s="9">
        <v>250</v>
      </c>
      <c r="H2068" s="5" t="s">
        <v>20</v>
      </c>
      <c r="I2068" s="5" t="s">
        <v>5180</v>
      </c>
      <c r="J2068" s="12" t="str">
        <f>HYPERLINK("https://www.boe.es/gazeta/dias/1804/03/16/pdfs/GMD-C-1804-22.pdf#page=2","Abrir facsímil")</f>
        <v>Abrir facsímil</v>
      </c>
      <c r="K2068" s="15" t="s">
        <v>22</v>
      </c>
    </row>
    <row r="2069" spans="1:11" ht="42" customHeight="1">
      <c r="A2069" s="4" t="s">
        <v>5178</v>
      </c>
      <c r="B2069" s="5" t="s">
        <v>5179</v>
      </c>
      <c r="C2069" s="5" t="s">
        <v>17</v>
      </c>
      <c r="D2069" s="5" t="s">
        <v>18</v>
      </c>
      <c r="E2069" s="5" t="s">
        <v>155</v>
      </c>
      <c r="F2069" s="9">
        <v>92</v>
      </c>
      <c r="G2069" s="9">
        <v>1022</v>
      </c>
      <c r="H2069" s="5" t="s">
        <v>20</v>
      </c>
      <c r="I2069" s="5" t="s">
        <v>5181</v>
      </c>
      <c r="J2069" s="12" t="str">
        <f>HYPERLINK("https://www.boe.es/gazeta/dias/1804/11/16/pdfs/GMD-1804-92.pdf#page=10","Abrir facsímil")</f>
        <v>Abrir facsímil</v>
      </c>
      <c r="K2069" s="15" t="s">
        <v>22</v>
      </c>
    </row>
    <row r="2070" spans="1:11" ht="42" customHeight="1">
      <c r="A2070" s="4" t="s">
        <v>5182</v>
      </c>
      <c r="B2070" s="5" t="s">
        <v>5183</v>
      </c>
      <c r="C2070" s="5" t="s">
        <v>262</v>
      </c>
      <c r="D2070" s="5" t="s">
        <v>263</v>
      </c>
      <c r="E2070" s="5" t="s">
        <v>666</v>
      </c>
      <c r="F2070" s="9">
        <v>57</v>
      </c>
      <c r="G2070" s="9">
        <v>636</v>
      </c>
      <c r="H2070" s="5" t="s">
        <v>20</v>
      </c>
      <c r="I2070" s="5" t="s">
        <v>5184</v>
      </c>
      <c r="J2070" s="12" t="str">
        <f>HYPERLINK("https://www.boe.es/gazeta/dias/1804/07/17/pdfs/GMD-C-1804-57.pdf#page=2","Abrir facsímil")</f>
        <v>Abrir facsímil</v>
      </c>
      <c r="K2070" s="15" t="s">
        <v>22</v>
      </c>
    </row>
    <row r="2071" spans="1:11" ht="42" customHeight="1">
      <c r="A2071" s="4" t="s">
        <v>5185</v>
      </c>
      <c r="B2071" s="5" t="s">
        <v>5185</v>
      </c>
      <c r="C2071" s="5" t="s">
        <v>17</v>
      </c>
      <c r="D2071" s="5" t="s">
        <v>18</v>
      </c>
      <c r="E2071" s="5" t="s">
        <v>490</v>
      </c>
      <c r="F2071" s="9">
        <v>100</v>
      </c>
      <c r="G2071" s="9">
        <v>1111</v>
      </c>
      <c r="H2071" s="5" t="s">
        <v>20</v>
      </c>
      <c r="I2071" s="5" t="s">
        <v>5186</v>
      </c>
      <c r="J2071" s="12" t="str">
        <f>HYPERLINK("https://www.boe.es/gazeta/dias/1804/12/14/pdfs/GMD-1804-100.pdf#page=3","Abrir facsímil")</f>
        <v>Abrir facsímil</v>
      </c>
      <c r="K2071" s="15" t="s">
        <v>22</v>
      </c>
    </row>
    <row r="2072" spans="1:11" ht="42" customHeight="1">
      <c r="A2072" s="4" t="s">
        <v>5187</v>
      </c>
      <c r="B2072" s="5" t="s">
        <v>5188</v>
      </c>
      <c r="C2072" s="5" t="s">
        <v>57</v>
      </c>
      <c r="D2072" s="5" t="s">
        <v>58</v>
      </c>
      <c r="E2072" s="5" t="s">
        <v>453</v>
      </c>
      <c r="F2072" s="9">
        <v>33</v>
      </c>
      <c r="G2072" s="9">
        <v>362</v>
      </c>
      <c r="H2072" s="5" t="s">
        <v>20</v>
      </c>
      <c r="I2072" s="5" t="s">
        <v>5189</v>
      </c>
      <c r="J2072" s="12" t="str">
        <f>HYPERLINK("https://www.boe.es/gazeta/dias/1804/04/24/pdfs/GMD-1804-33.pdf#page=4","Abrir facsímil")</f>
        <v>Abrir facsímil</v>
      </c>
      <c r="K2072" s="15" t="s">
        <v>22</v>
      </c>
    </row>
    <row r="2073" spans="1:11" ht="42" customHeight="1">
      <c r="A2073" s="4" t="s">
        <v>5190</v>
      </c>
      <c r="B2073" s="5" t="s">
        <v>5190</v>
      </c>
      <c r="C2073" s="5" t="s">
        <v>27</v>
      </c>
      <c r="D2073" s="5" t="s">
        <v>28</v>
      </c>
      <c r="E2073" s="5" t="s">
        <v>147</v>
      </c>
      <c r="F2073" s="9">
        <v>77</v>
      </c>
      <c r="G2073" s="9">
        <v>857</v>
      </c>
      <c r="H2073" s="5" t="s">
        <v>20</v>
      </c>
      <c r="I2073" s="5" t="s">
        <v>5191</v>
      </c>
      <c r="J2073" s="12" t="str">
        <f>HYPERLINK("https://www.boe.es/gazeta/dias/1804/09/25/pdfs/GMD-1804-77.pdf#page=7","Abrir facsímil")</f>
        <v>Abrir facsímil</v>
      </c>
      <c r="K2073" s="15" t="s">
        <v>22</v>
      </c>
    </row>
    <row r="2074" spans="1:11" ht="42" customHeight="1">
      <c r="A2074" s="4" t="s">
        <v>5192</v>
      </c>
      <c r="B2074" s="5" t="s">
        <v>5193</v>
      </c>
      <c r="C2074" s="5" t="s">
        <v>17</v>
      </c>
      <c r="D2074" s="5" t="s">
        <v>18</v>
      </c>
      <c r="E2074" s="5" t="s">
        <v>354</v>
      </c>
      <c r="F2074" s="9">
        <v>1</v>
      </c>
      <c r="G2074" s="9">
        <v>4</v>
      </c>
      <c r="H2074" s="5" t="s">
        <v>20</v>
      </c>
      <c r="I2074" s="5" t="s">
        <v>5194</v>
      </c>
      <c r="J2074" s="12" t="str">
        <f>HYPERLINK("https://www.boe.es/gazeta/dias/1804/01/03/pdfs/GMD-1804-1.pdf#page=4","Abrir facsímil")</f>
        <v>Abrir facsímil</v>
      </c>
      <c r="K2074" s="15" t="s">
        <v>22</v>
      </c>
    </row>
    <row r="2075" spans="1:11" ht="42" customHeight="1">
      <c r="A2075" s="4" t="s">
        <v>5195</v>
      </c>
      <c r="B2075" s="5" t="s">
        <v>5196</v>
      </c>
      <c r="C2075" s="5" t="s">
        <v>65</v>
      </c>
      <c r="D2075" s="5" t="s">
        <v>66</v>
      </c>
      <c r="E2075" s="5" t="s">
        <v>950</v>
      </c>
      <c r="F2075" s="9">
        <v>90</v>
      </c>
      <c r="G2075" s="9">
        <v>998</v>
      </c>
      <c r="H2075" s="5" t="s">
        <v>20</v>
      </c>
      <c r="I2075" s="5" t="s">
        <v>5197</v>
      </c>
      <c r="J2075" s="12" t="str">
        <f>HYPERLINK("https://www.boe.es/gazeta/dias/1804/11/09/pdfs/GMD-1804-90.pdf#page=6","Abrir facsímil")</f>
        <v>Abrir facsímil</v>
      </c>
      <c r="K2075" s="15" t="s">
        <v>22</v>
      </c>
    </row>
    <row r="2076" spans="1:11" ht="42" customHeight="1">
      <c r="A2076" s="4" t="s">
        <v>5198</v>
      </c>
      <c r="B2076" s="5" t="s">
        <v>5199</v>
      </c>
      <c r="C2076" s="5" t="s">
        <v>27</v>
      </c>
      <c r="D2076" s="5" t="s">
        <v>28</v>
      </c>
      <c r="E2076" s="5" t="s">
        <v>699</v>
      </c>
      <c r="F2076" s="9">
        <v>2</v>
      </c>
      <c r="G2076" s="9">
        <v>17</v>
      </c>
      <c r="H2076" s="5" t="s">
        <v>20</v>
      </c>
      <c r="I2076" s="5" t="s">
        <v>5200</v>
      </c>
      <c r="J2076" s="12" t="str">
        <f>HYPERLINK("https://www.boe.es/gazeta/dias/1804/01/06/pdfs/GMD-1804-2.pdf#page=5","Abrir facsímil")</f>
        <v>Abrir facsímil</v>
      </c>
      <c r="K2076" s="15" t="s">
        <v>22</v>
      </c>
    </row>
    <row r="2077" spans="1:11" ht="42" customHeight="1">
      <c r="A2077" s="4" t="s">
        <v>5201</v>
      </c>
      <c r="B2077" s="5" t="s">
        <v>5201</v>
      </c>
      <c r="C2077" s="5" t="s">
        <v>27</v>
      </c>
      <c r="D2077" s="5" t="s">
        <v>28</v>
      </c>
      <c r="E2077" s="5" t="s">
        <v>103</v>
      </c>
      <c r="F2077" s="9">
        <v>11</v>
      </c>
      <c r="G2077" s="9">
        <v>123</v>
      </c>
      <c r="H2077" s="5" t="s">
        <v>20</v>
      </c>
      <c r="I2077" s="5" t="s">
        <v>5202</v>
      </c>
      <c r="J2077" s="12" t="str">
        <f>HYPERLINK("https://www.boe.es/gazeta/dias/1804/02/07/pdfs/GMD-1804-11.pdf#page=11","Abrir facsímil")</f>
        <v>Abrir facsímil</v>
      </c>
      <c r="K2077" s="15" t="s">
        <v>22</v>
      </c>
    </row>
    <row r="2078" spans="1:11" ht="42" customHeight="1">
      <c r="A2078" s="4" t="s">
        <v>5203</v>
      </c>
      <c r="B2078" s="5" t="s">
        <v>5203</v>
      </c>
      <c r="C2078" s="5" t="s">
        <v>27</v>
      </c>
      <c r="D2078" s="5" t="s">
        <v>28</v>
      </c>
      <c r="E2078" s="5" t="s">
        <v>182</v>
      </c>
      <c r="F2078" s="9">
        <v>21</v>
      </c>
      <c r="G2078" s="9">
        <v>231</v>
      </c>
      <c r="H2078" s="5" t="s">
        <v>20</v>
      </c>
      <c r="I2078" s="5" t="s">
        <v>5204</v>
      </c>
      <c r="J2078" s="12" t="str">
        <f>HYPERLINK("https://www.boe.es/gazeta/dias/1804/03/13/pdfs/GMD-1804-21.pdf#page=7","Abrir facsímil")</f>
        <v>Abrir facsímil</v>
      </c>
      <c r="K2078" s="15" t="s">
        <v>22</v>
      </c>
    </row>
    <row r="2079" spans="1:11" ht="42" customHeight="1">
      <c r="A2079" s="4" t="s">
        <v>5205</v>
      </c>
      <c r="B2079" s="5" t="s">
        <v>5205</v>
      </c>
      <c r="C2079" s="5" t="s">
        <v>85</v>
      </c>
      <c r="D2079" s="5" t="s">
        <v>86</v>
      </c>
      <c r="E2079" s="5" t="s">
        <v>360</v>
      </c>
      <c r="F2079" s="9">
        <v>81</v>
      </c>
      <c r="G2079" s="9">
        <v>898</v>
      </c>
      <c r="H2079" s="5" t="s">
        <v>20</v>
      </c>
      <c r="I2079" s="5" t="s">
        <v>5206</v>
      </c>
      <c r="J2079" s="12" t="str">
        <f>HYPERLINK("https://www.boe.es/gazeta/dias/1804/10/09/pdfs/GMD-1804-81.pdf#page=8","Abrir facsímil")</f>
        <v>Abrir facsímil</v>
      </c>
      <c r="K2079" s="15" t="s">
        <v>22</v>
      </c>
    </row>
    <row r="2080" spans="1:11" ht="42" customHeight="1">
      <c r="A2080" s="4" t="s">
        <v>5207</v>
      </c>
      <c r="B2080" s="5" t="s">
        <v>5208</v>
      </c>
      <c r="C2080" s="5" t="s">
        <v>17</v>
      </c>
      <c r="D2080" s="5" t="s">
        <v>18</v>
      </c>
      <c r="E2080" s="5" t="s">
        <v>484</v>
      </c>
      <c r="F2080" s="9">
        <v>53</v>
      </c>
      <c r="G2080" s="9">
        <v>591</v>
      </c>
      <c r="H2080" s="5" t="s">
        <v>20</v>
      </c>
      <c r="I2080" s="5" t="s">
        <v>5209</v>
      </c>
      <c r="J2080" s="12" t="str">
        <f>HYPERLINK("https://www.boe.es/gazeta/dias/1804/07/03/pdfs/GMD-1804-53.pdf#page=9","Abrir facsímil")</f>
        <v>Abrir facsímil</v>
      </c>
      <c r="K2080" s="15" t="s">
        <v>22</v>
      </c>
    </row>
    <row r="2081" spans="1:11" ht="42" customHeight="1">
      <c r="A2081" s="4" t="s">
        <v>5210</v>
      </c>
      <c r="B2081" s="5" t="s">
        <v>5211</v>
      </c>
      <c r="C2081" s="5" t="s">
        <v>27</v>
      </c>
      <c r="D2081" s="5" t="s">
        <v>28</v>
      </c>
      <c r="E2081" s="5" t="s">
        <v>709</v>
      </c>
      <c r="F2081" s="9">
        <v>82</v>
      </c>
      <c r="G2081" s="9">
        <v>907</v>
      </c>
      <c r="H2081" s="5" t="s">
        <v>20</v>
      </c>
      <c r="I2081" s="5" t="s">
        <v>5212</v>
      </c>
      <c r="J2081" s="12" t="str">
        <f>HYPERLINK("https://www.boe.es/gazeta/dias/1804/10/12/pdfs/GMD-1804-82.pdf#page=9","Abrir facsímil")</f>
        <v>Abrir facsímil</v>
      </c>
      <c r="K2081" s="15" t="s">
        <v>22</v>
      </c>
    </row>
    <row r="2082" spans="1:11" ht="42" customHeight="1">
      <c r="A2082" s="4" t="s">
        <v>5213</v>
      </c>
      <c r="B2082" s="5" t="s">
        <v>5214</v>
      </c>
      <c r="C2082" s="5" t="s">
        <v>27</v>
      </c>
      <c r="D2082" s="5" t="s">
        <v>28</v>
      </c>
      <c r="E2082" s="5" t="s">
        <v>704</v>
      </c>
      <c r="F2082" s="9">
        <v>36</v>
      </c>
      <c r="G2082" s="9">
        <v>399</v>
      </c>
      <c r="H2082" s="5" t="s">
        <v>20</v>
      </c>
      <c r="I2082" s="5" t="s">
        <v>5215</v>
      </c>
      <c r="J2082" s="12" t="str">
        <f>HYPERLINK("https://www.boe.es/gazeta/dias/1804/05/04/pdfs/GMD-1804-36.pdf#page=9","Abrir facsímil")</f>
        <v>Abrir facsímil</v>
      </c>
      <c r="K2082" s="15" t="s">
        <v>22</v>
      </c>
    </row>
    <row r="2083" spans="1:11" ht="42" customHeight="1">
      <c r="A2083" s="4" t="s">
        <v>5216</v>
      </c>
      <c r="B2083" s="5" t="s">
        <v>5217</v>
      </c>
      <c r="C2083" s="5" t="s">
        <v>65</v>
      </c>
      <c r="D2083" s="5" t="s">
        <v>66</v>
      </c>
      <c r="E2083" s="5" t="s">
        <v>298</v>
      </c>
      <c r="F2083" s="9">
        <v>10</v>
      </c>
      <c r="G2083" s="9">
        <v>109</v>
      </c>
      <c r="H2083" s="5" t="s">
        <v>20</v>
      </c>
      <c r="I2083" s="5" t="s">
        <v>5218</v>
      </c>
      <c r="J2083" s="12" t="str">
        <f>HYPERLINK("https://www.boe.es/gazeta/dias/1804/02/03/pdfs/GMD-1804-10.pdf#page=9","Abrir facsímil")</f>
        <v>Abrir facsímil</v>
      </c>
      <c r="K2083" s="15" t="s">
        <v>22</v>
      </c>
    </row>
    <row r="2084" spans="1:11" ht="42" customHeight="1">
      <c r="A2084" s="4" t="s">
        <v>5219</v>
      </c>
      <c r="B2084" s="5" t="s">
        <v>5220</v>
      </c>
      <c r="C2084" s="5" t="s">
        <v>27</v>
      </c>
      <c r="D2084" s="5" t="s">
        <v>28</v>
      </c>
      <c r="E2084" s="5" t="s">
        <v>678</v>
      </c>
      <c r="F2084" s="9">
        <v>104</v>
      </c>
      <c r="G2084" s="9">
        <v>1162</v>
      </c>
      <c r="H2084" s="5" t="s">
        <v>20</v>
      </c>
      <c r="I2084" s="5" t="s">
        <v>5221</v>
      </c>
      <c r="J2084" s="12" t="str">
        <f>HYPERLINK("https://www.boe.es/gazeta/dias/1804/12/28/pdfs/GMD-1804-104.pdf#page=10","Abrir facsímil")</f>
        <v>Abrir facsímil</v>
      </c>
      <c r="K2084" s="15" t="s">
        <v>22</v>
      </c>
    </row>
    <row r="2085" spans="1:11" ht="42" customHeight="1">
      <c r="A2085" s="4" t="s">
        <v>5222</v>
      </c>
      <c r="B2085" s="5" t="s">
        <v>5223</v>
      </c>
      <c r="C2085" s="5" t="s">
        <v>120</v>
      </c>
      <c r="D2085" s="5" t="s">
        <v>121</v>
      </c>
      <c r="E2085" s="5" t="s">
        <v>33</v>
      </c>
      <c r="F2085" s="9">
        <v>48</v>
      </c>
      <c r="G2085" s="9" t="s">
        <v>819</v>
      </c>
      <c r="H2085" s="5" t="s">
        <v>20</v>
      </c>
      <c r="I2085" s="5" t="s">
        <v>5224</v>
      </c>
      <c r="J2085" s="12" t="str">
        <f>HYPERLINK("https://www.boe.es/gazeta/dias/1804/06/15/pdfs/GMD-C-1804-48.pdf#page=4","Abrir facsímil")</f>
        <v>Abrir facsímil</v>
      </c>
      <c r="K2085" s="15" t="s">
        <v>22</v>
      </c>
    </row>
    <row r="2086" spans="1:11" ht="42" customHeight="1">
      <c r="A2086" s="4" t="s">
        <v>5225</v>
      </c>
      <c r="B2086" s="5" t="s">
        <v>5225</v>
      </c>
      <c r="C2086" s="5" t="s">
        <v>27</v>
      </c>
      <c r="D2086" s="5" t="s">
        <v>28</v>
      </c>
      <c r="E2086" s="5" t="s">
        <v>308</v>
      </c>
      <c r="F2086" s="9">
        <v>96</v>
      </c>
      <c r="G2086" s="9">
        <v>1068</v>
      </c>
      <c r="H2086" s="5" t="s">
        <v>20</v>
      </c>
      <c r="I2086" s="5" t="s">
        <v>5226</v>
      </c>
      <c r="J2086" s="12" t="str">
        <f>HYPERLINK("https://www.boe.es/gazeta/dias/1804/11/30/pdfs/GMD-1804-96.pdf#page=8","Abrir facsímil")</f>
        <v>Abrir facsímil</v>
      </c>
      <c r="K2086" s="15" t="s">
        <v>22</v>
      </c>
    </row>
    <row r="2087" spans="1:11" ht="42" customHeight="1">
      <c r="A2087" s="4" t="s">
        <v>5227</v>
      </c>
      <c r="B2087" s="5" t="s">
        <v>5228</v>
      </c>
      <c r="C2087" s="5" t="s">
        <v>17</v>
      </c>
      <c r="D2087" s="5" t="s">
        <v>18</v>
      </c>
      <c r="E2087" s="5" t="s">
        <v>37</v>
      </c>
      <c r="F2087" s="9">
        <v>29</v>
      </c>
      <c r="G2087" s="9">
        <v>318</v>
      </c>
      <c r="H2087" s="5" t="s">
        <v>20</v>
      </c>
      <c r="I2087" s="5" t="s">
        <v>5229</v>
      </c>
      <c r="J2087" s="12" t="str">
        <f>HYPERLINK("https://www.boe.es/gazeta/dias/1804/04/10/pdfs/GMD-1804-29.pdf#page=8","Abrir facsímil")</f>
        <v>Abrir facsímil</v>
      </c>
      <c r="K2087" s="15" t="s">
        <v>22</v>
      </c>
    </row>
    <row r="2088" spans="1:11" ht="42" customHeight="1">
      <c r="A2088" s="4" t="s">
        <v>5230</v>
      </c>
      <c r="B2088" s="5" t="s">
        <v>5231</v>
      </c>
      <c r="C2088" s="5" t="s">
        <v>17</v>
      </c>
      <c r="D2088" s="5" t="s">
        <v>18</v>
      </c>
      <c r="E2088" s="5" t="s">
        <v>71</v>
      </c>
      <c r="F2088" s="9">
        <v>99</v>
      </c>
      <c r="G2088" s="9">
        <v>1107</v>
      </c>
      <c r="H2088" s="5" t="s">
        <v>20</v>
      </c>
      <c r="I2088" s="5" t="s">
        <v>5232</v>
      </c>
      <c r="J2088" s="12" t="str">
        <f>HYPERLINK("https://www.boe.es/gazeta/dias/1804/12/11/pdfs/GMD-1804-99.pdf#page=7","Abrir facsímil")</f>
        <v>Abrir facsímil</v>
      </c>
      <c r="K2088" s="15" t="s">
        <v>22</v>
      </c>
    </row>
    <row r="2089" spans="1:11" ht="42" customHeight="1">
      <c r="A2089" s="4" t="s">
        <v>5233</v>
      </c>
      <c r="B2089" s="5" t="s">
        <v>5234</v>
      </c>
      <c r="C2089" s="5" t="s">
        <v>17</v>
      </c>
      <c r="D2089" s="5" t="s">
        <v>18</v>
      </c>
      <c r="E2089" s="5" t="s">
        <v>37</v>
      </c>
      <c r="F2089" s="9">
        <v>29</v>
      </c>
      <c r="G2089" s="9">
        <v>319</v>
      </c>
      <c r="H2089" s="5" t="s">
        <v>20</v>
      </c>
      <c r="I2089" s="5" t="s">
        <v>5235</v>
      </c>
      <c r="J2089" s="12" t="str">
        <f>HYPERLINK("https://www.boe.es/gazeta/dias/1804/04/10/pdfs/GMD-1804-29.pdf#page=9","Abrir facsímil")</f>
        <v>Abrir facsímil</v>
      </c>
      <c r="K2089" s="15" t="s">
        <v>22</v>
      </c>
    </row>
    <row r="2090" spans="1:11" ht="42" customHeight="1">
      <c r="A2090" s="4" t="s">
        <v>5236</v>
      </c>
      <c r="B2090" s="5" t="s">
        <v>5237</v>
      </c>
      <c r="C2090" s="5" t="s">
        <v>17</v>
      </c>
      <c r="D2090" s="5" t="s">
        <v>18</v>
      </c>
      <c r="E2090" s="5" t="s">
        <v>515</v>
      </c>
      <c r="F2090" s="9">
        <v>102</v>
      </c>
      <c r="G2090" s="9">
        <v>1139</v>
      </c>
      <c r="H2090" s="5" t="s">
        <v>20</v>
      </c>
      <c r="I2090" s="5" t="s">
        <v>5238</v>
      </c>
      <c r="J2090" s="12" t="str">
        <f>HYPERLINK("https://www.boe.es/gazeta/dias/1804/12/21/pdfs/GMD-1804-102.pdf#page=7","Abrir facsímil")</f>
        <v>Abrir facsímil</v>
      </c>
      <c r="K2090" s="15" t="s">
        <v>22</v>
      </c>
    </row>
    <row r="2091" spans="1:11" ht="42" customHeight="1">
      <c r="A2091" s="4" t="s">
        <v>5239</v>
      </c>
      <c r="B2091" s="5" t="s">
        <v>5239</v>
      </c>
      <c r="C2091" s="5" t="s">
        <v>57</v>
      </c>
      <c r="D2091" s="5" t="s">
        <v>58</v>
      </c>
      <c r="E2091" s="5" t="s">
        <v>258</v>
      </c>
      <c r="F2091" s="9">
        <v>14</v>
      </c>
      <c r="G2091" s="9">
        <v>146</v>
      </c>
      <c r="H2091" s="5" t="s">
        <v>20</v>
      </c>
      <c r="I2091" s="5" t="s">
        <v>5240</v>
      </c>
      <c r="J2091" s="12" t="str">
        <f>HYPERLINK("https://www.boe.es/gazeta/dias/1804/02/17/pdfs/GMD-1804-14.pdf#page=2","Abrir facsímil")</f>
        <v>Abrir facsímil</v>
      </c>
      <c r="K2091" s="15" t="s">
        <v>22</v>
      </c>
    </row>
    <row r="2092" spans="1:11" ht="42" customHeight="1">
      <c r="A2092" s="4" t="s">
        <v>5241</v>
      </c>
      <c r="B2092" s="5" t="s">
        <v>5242</v>
      </c>
      <c r="C2092" s="5" t="s">
        <v>198</v>
      </c>
      <c r="D2092" s="5" t="s">
        <v>66</v>
      </c>
      <c r="E2092" s="5" t="s">
        <v>251</v>
      </c>
      <c r="F2092" s="9">
        <v>79</v>
      </c>
      <c r="G2092" s="9">
        <v>879</v>
      </c>
      <c r="H2092" s="5" t="s">
        <v>20</v>
      </c>
      <c r="I2092" s="5" t="s">
        <v>5243</v>
      </c>
      <c r="J2092" s="12" t="str">
        <f>HYPERLINK("https://www.boe.es/gazeta/dias/1804/10/02/pdfs/GMD-1804-79.pdf#page=9","Abrir facsímil")</f>
        <v>Abrir facsímil</v>
      </c>
      <c r="K2092" s="15" t="s">
        <v>22</v>
      </c>
    </row>
    <row r="2093" spans="1:11" ht="42" customHeight="1">
      <c r="A2093" s="4" t="s">
        <v>5244</v>
      </c>
      <c r="B2093" s="5" t="s">
        <v>5245</v>
      </c>
      <c r="C2093" s="5" t="s">
        <v>27</v>
      </c>
      <c r="D2093" s="5" t="s">
        <v>28</v>
      </c>
      <c r="E2093" s="5" t="s">
        <v>490</v>
      </c>
      <c r="F2093" s="9">
        <v>100</v>
      </c>
      <c r="G2093" s="9">
        <v>1119</v>
      </c>
      <c r="H2093" s="5" t="s">
        <v>20</v>
      </c>
      <c r="I2093" s="5" t="s">
        <v>5246</v>
      </c>
      <c r="J2093" s="12" t="str">
        <f>HYPERLINK("https://www.boe.es/gazeta/dias/1804/12/14/pdfs/GMD-1804-100.pdf#page=11","Abrir facsímil")</f>
        <v>Abrir facsímil</v>
      </c>
      <c r="K2093" s="15" t="s">
        <v>22</v>
      </c>
    </row>
    <row r="2094" spans="1:11" ht="42" customHeight="1">
      <c r="A2094" s="4" t="s">
        <v>5247</v>
      </c>
      <c r="B2094" s="5" t="s">
        <v>5248</v>
      </c>
      <c r="C2094" s="5" t="s">
        <v>27</v>
      </c>
      <c r="D2094" s="5" t="s">
        <v>28</v>
      </c>
      <c r="E2094" s="5" t="s">
        <v>497</v>
      </c>
      <c r="F2094" s="9">
        <v>25</v>
      </c>
      <c r="G2094" s="9">
        <v>286</v>
      </c>
      <c r="H2094" s="5" t="s">
        <v>20</v>
      </c>
      <c r="I2094" s="5" t="s">
        <v>5249</v>
      </c>
      <c r="J2094" s="12" t="str">
        <f>HYPERLINK("https://www.boe.es/gazeta/dias/1804/03/27/pdfs/GMD-1804-25.pdf#page=8","Abrir facsímil")</f>
        <v>Abrir facsímil</v>
      </c>
      <c r="K2094" s="15" t="s">
        <v>22</v>
      </c>
    </row>
    <row r="2095" spans="1:11" ht="42" customHeight="1">
      <c r="A2095" s="4" t="s">
        <v>5250</v>
      </c>
      <c r="B2095" s="5" t="s">
        <v>5251</v>
      </c>
      <c r="C2095" s="5" t="s">
        <v>27</v>
      </c>
      <c r="D2095" s="5" t="s">
        <v>28</v>
      </c>
      <c r="E2095" s="5" t="s">
        <v>234</v>
      </c>
      <c r="F2095" s="9">
        <v>86</v>
      </c>
      <c r="G2095" s="9">
        <v>948</v>
      </c>
      <c r="H2095" s="5" t="s">
        <v>20</v>
      </c>
      <c r="I2095" s="5" t="s">
        <v>5252</v>
      </c>
      <c r="J2095" s="12" t="str">
        <f>HYPERLINK("https://www.boe.es/gazeta/dias/1804/10/26/pdfs/GMD-1804-86.pdf#page=6","Abrir facsímil")</f>
        <v>Abrir facsímil</v>
      </c>
      <c r="K2095" s="15" t="s">
        <v>22</v>
      </c>
    </row>
    <row r="2096" spans="1:11" ht="42" customHeight="1">
      <c r="A2096" s="4" t="s">
        <v>5253</v>
      </c>
      <c r="B2096" s="5" t="s">
        <v>5254</v>
      </c>
      <c r="C2096" s="5" t="s">
        <v>65</v>
      </c>
      <c r="D2096" s="5" t="s">
        <v>66</v>
      </c>
      <c r="E2096" s="5" t="s">
        <v>140</v>
      </c>
      <c r="F2096" s="9">
        <v>39</v>
      </c>
      <c r="G2096" s="9">
        <v>435</v>
      </c>
      <c r="H2096" s="5" t="s">
        <v>20</v>
      </c>
      <c r="I2096" s="5" t="s">
        <v>5255</v>
      </c>
      <c r="J2096" s="12" t="str">
        <f>HYPERLINK("https://www.boe.es/gazeta/dias/1804/05/15/pdfs/GMD-1804-39.pdf#page=9","Abrir facsímil")</f>
        <v>Abrir facsímil</v>
      </c>
      <c r="K2096" s="15" t="s">
        <v>22</v>
      </c>
    </row>
    <row r="2097" spans="1:11" ht="42" customHeight="1">
      <c r="A2097" s="4" t="s">
        <v>5256</v>
      </c>
      <c r="B2097" s="5" t="s">
        <v>5257</v>
      </c>
      <c r="C2097" s="5" t="s">
        <v>262</v>
      </c>
      <c r="D2097" s="5" t="s">
        <v>263</v>
      </c>
      <c r="E2097" s="5" t="s">
        <v>264</v>
      </c>
      <c r="F2097" s="9">
        <v>49</v>
      </c>
      <c r="G2097" s="9" t="s">
        <v>2111</v>
      </c>
      <c r="H2097" s="5" t="s">
        <v>20</v>
      </c>
      <c r="I2097" s="5" t="s">
        <v>5258</v>
      </c>
      <c r="J2097" s="12" t="str">
        <f>HYPERLINK("https://www.boe.es/gazeta/dias/1804/06/19/pdfs/GMD-C-1804-49.pdf#page=12","Abrir facsímil")</f>
        <v>Abrir facsímil</v>
      </c>
      <c r="K2097" s="15" t="s">
        <v>22</v>
      </c>
    </row>
    <row r="2098" spans="1:11" ht="42" customHeight="1">
      <c r="A2098" s="4" t="s">
        <v>5259</v>
      </c>
      <c r="B2098" s="5" t="s">
        <v>5260</v>
      </c>
      <c r="C2098" s="5" t="s">
        <v>262</v>
      </c>
      <c r="D2098" s="5" t="s">
        <v>263</v>
      </c>
      <c r="E2098" s="5" t="s">
        <v>264</v>
      </c>
      <c r="F2098" s="9">
        <v>49</v>
      </c>
      <c r="G2098" s="9" t="s">
        <v>2381</v>
      </c>
      <c r="H2098" s="5" t="s">
        <v>20</v>
      </c>
      <c r="I2098" s="5" t="s">
        <v>5261</v>
      </c>
      <c r="J2098" s="12" t="str">
        <f>HYPERLINK("https://www.boe.es/gazeta/dias/1804/06/19/pdfs/GMD-C-1804-49.pdf#page=5","Abrir facsímil")</f>
        <v>Abrir facsímil</v>
      </c>
      <c r="K2098" s="15" t="s">
        <v>22</v>
      </c>
    </row>
    <row r="2099" spans="1:11" ht="42" customHeight="1">
      <c r="A2099" s="4" t="s">
        <v>5262</v>
      </c>
      <c r="B2099" s="5" t="s">
        <v>5263</v>
      </c>
      <c r="C2099" s="5" t="s">
        <v>198</v>
      </c>
      <c r="D2099" s="5" t="s">
        <v>66</v>
      </c>
      <c r="E2099" s="5" t="s">
        <v>23</v>
      </c>
      <c r="F2099" s="9">
        <v>91</v>
      </c>
      <c r="G2099" s="9">
        <v>1009</v>
      </c>
      <c r="H2099" s="5" t="s">
        <v>20</v>
      </c>
      <c r="I2099" s="5" t="s">
        <v>5264</v>
      </c>
      <c r="J2099" s="12" t="str">
        <f>HYPERLINK("https://www.boe.es/gazeta/dias/1804/11/13/pdfs/GMD-1804-91.pdf#page=9","Abrir facsímil")</f>
        <v>Abrir facsímil</v>
      </c>
      <c r="K2099" s="15" t="s">
        <v>22</v>
      </c>
    </row>
    <row r="2100" spans="1:11" ht="42" customHeight="1">
      <c r="A2100" s="4" t="s">
        <v>5265</v>
      </c>
      <c r="B2100" s="5" t="s">
        <v>5266</v>
      </c>
      <c r="C2100" s="5" t="s">
        <v>65</v>
      </c>
      <c r="D2100" s="5" t="s">
        <v>66</v>
      </c>
      <c r="E2100" s="5" t="s">
        <v>479</v>
      </c>
      <c r="F2100" s="9">
        <v>5</v>
      </c>
      <c r="G2100" s="9">
        <v>46</v>
      </c>
      <c r="H2100" s="5" t="s">
        <v>20</v>
      </c>
      <c r="I2100" s="5" t="s">
        <v>5267</v>
      </c>
      <c r="J2100" s="12" t="str">
        <f>HYPERLINK("https://www.boe.es/gazeta/dias/1804/01/17/pdfs/GMD-1804-5.pdf#page=6","Abrir facsímil")</f>
        <v>Abrir facsímil</v>
      </c>
      <c r="K2100" s="15" t="s">
        <v>22</v>
      </c>
    </row>
    <row r="2101" spans="1:11" ht="42" customHeight="1">
      <c r="A2101" s="4" t="s">
        <v>5268</v>
      </c>
      <c r="B2101" s="5" t="s">
        <v>5269</v>
      </c>
      <c r="C2101" s="5" t="s">
        <v>85</v>
      </c>
      <c r="D2101" s="5" t="s">
        <v>86</v>
      </c>
      <c r="E2101" s="5" t="s">
        <v>699</v>
      </c>
      <c r="F2101" s="9">
        <v>2</v>
      </c>
      <c r="G2101" s="9">
        <v>20</v>
      </c>
      <c r="H2101" s="5" t="s">
        <v>20</v>
      </c>
      <c r="I2101" s="5" t="s">
        <v>5270</v>
      </c>
      <c r="J2101" s="12" t="str">
        <f>HYPERLINK("https://www.boe.es/gazeta/dias/1804/01/06/pdfs/GMD-1804-2.pdf#page=8","Abrir facsímil")</f>
        <v>Abrir facsímil</v>
      </c>
      <c r="K2101" s="15" t="s">
        <v>22</v>
      </c>
    </row>
    <row r="2102" spans="1:11" ht="42" customHeight="1">
      <c r="A2102" s="4" t="s">
        <v>5271</v>
      </c>
      <c r="B2102" s="5" t="s">
        <v>5272</v>
      </c>
      <c r="C2102" s="5" t="s">
        <v>27</v>
      </c>
      <c r="D2102" s="5" t="s">
        <v>28</v>
      </c>
      <c r="E2102" s="5" t="s">
        <v>950</v>
      </c>
      <c r="F2102" s="9">
        <v>90</v>
      </c>
      <c r="G2102" s="9">
        <v>999</v>
      </c>
      <c r="H2102" s="5" t="s">
        <v>20</v>
      </c>
      <c r="I2102" s="5" t="s">
        <v>5273</v>
      </c>
      <c r="J2102" s="12" t="str">
        <f>HYPERLINK("https://www.boe.es/gazeta/dias/1804/11/09/pdfs/GMD-1804-90.pdf#page=7","Abrir facsímil")</f>
        <v>Abrir facsímil</v>
      </c>
      <c r="K2102" s="15" t="s">
        <v>22</v>
      </c>
    </row>
    <row r="2103" spans="1:11" ht="42" customHeight="1">
      <c r="A2103" s="4" t="s">
        <v>5274</v>
      </c>
      <c r="B2103" s="5" t="s">
        <v>5275</v>
      </c>
      <c r="C2103" s="5" t="s">
        <v>27</v>
      </c>
      <c r="D2103" s="5" t="s">
        <v>28</v>
      </c>
      <c r="E2103" s="5" t="s">
        <v>140</v>
      </c>
      <c r="F2103" s="9">
        <v>39</v>
      </c>
      <c r="G2103" s="9">
        <v>436</v>
      </c>
      <c r="H2103" s="5" t="s">
        <v>20</v>
      </c>
      <c r="I2103" s="5" t="s">
        <v>5276</v>
      </c>
      <c r="J2103" s="12" t="str">
        <f>HYPERLINK("https://www.boe.es/gazeta/dias/1804/05/15/pdfs/GMD-1804-39.pdf#page=10","Abrir facsímil")</f>
        <v>Abrir facsímil</v>
      </c>
      <c r="K2103" s="15" t="s">
        <v>22</v>
      </c>
    </row>
    <row r="2104" spans="1:11" ht="42" customHeight="1">
      <c r="A2104" s="4" t="s">
        <v>5277</v>
      </c>
      <c r="B2104" s="5" t="s">
        <v>5278</v>
      </c>
      <c r="C2104" s="5" t="s">
        <v>27</v>
      </c>
      <c r="D2104" s="5" t="s">
        <v>28</v>
      </c>
      <c r="E2104" s="5" t="s">
        <v>320</v>
      </c>
      <c r="F2104" s="9">
        <v>31</v>
      </c>
      <c r="G2104" s="9">
        <v>343</v>
      </c>
      <c r="H2104" s="5" t="s">
        <v>20</v>
      </c>
      <c r="I2104" s="5" t="s">
        <v>5279</v>
      </c>
      <c r="J2104" s="12" t="str">
        <f>HYPERLINK("https://www.boe.es/gazeta/dias/1804/04/17/pdfs/GMD-1804-31.pdf#page=9","Abrir facsímil")</f>
        <v>Abrir facsímil</v>
      </c>
      <c r="K2104" s="15" t="s">
        <v>22</v>
      </c>
    </row>
    <row r="2105" spans="1:11" ht="42" customHeight="1">
      <c r="A2105" s="4" t="s">
        <v>5280</v>
      </c>
      <c r="B2105" s="5" t="s">
        <v>5281</v>
      </c>
      <c r="C2105" s="5" t="s">
        <v>65</v>
      </c>
      <c r="D2105" s="5" t="s">
        <v>66</v>
      </c>
      <c r="E2105" s="5" t="s">
        <v>147</v>
      </c>
      <c r="F2105" s="9">
        <v>77</v>
      </c>
      <c r="G2105" s="9">
        <v>858</v>
      </c>
      <c r="H2105" s="5" t="s">
        <v>20</v>
      </c>
      <c r="I2105" s="5" t="s">
        <v>5282</v>
      </c>
      <c r="J2105" s="12" t="str">
        <f>HYPERLINK("https://www.boe.es/gazeta/dias/1804/09/25/pdfs/GMD-1804-77.pdf#page=8","Abrir facsímil")</f>
        <v>Abrir facsímil</v>
      </c>
      <c r="K2105" s="15" t="s">
        <v>22</v>
      </c>
    </row>
    <row r="2106" spans="1:11" ht="42" customHeight="1">
      <c r="A2106" s="4" t="s">
        <v>5283</v>
      </c>
      <c r="B2106" s="5" t="s">
        <v>5283</v>
      </c>
      <c r="C2106" s="5" t="s">
        <v>27</v>
      </c>
      <c r="D2106" s="5" t="s">
        <v>28</v>
      </c>
      <c r="E2106" s="5" t="s">
        <v>151</v>
      </c>
      <c r="F2106" s="9">
        <v>13</v>
      </c>
      <c r="G2106" s="9">
        <v>141</v>
      </c>
      <c r="H2106" s="5" t="s">
        <v>20</v>
      </c>
      <c r="I2106" s="5" t="s">
        <v>5284</v>
      </c>
      <c r="J2106" s="12" t="str">
        <f>HYPERLINK("https://www.boe.es/gazeta/dias/1804/02/14/pdfs/GMD-1804-13.pdf#page=5","Abrir facsímil")</f>
        <v>Abrir facsímil</v>
      </c>
      <c r="K2106" s="15" t="s">
        <v>22</v>
      </c>
    </row>
    <row r="2107" spans="1:11" ht="42" customHeight="1">
      <c r="A2107" s="4" t="s">
        <v>5283</v>
      </c>
      <c r="B2107" s="5" t="s">
        <v>5283</v>
      </c>
      <c r="C2107" s="5" t="s">
        <v>17</v>
      </c>
      <c r="D2107" s="5" t="s">
        <v>18</v>
      </c>
      <c r="E2107" s="5" t="s">
        <v>147</v>
      </c>
      <c r="F2107" s="9">
        <v>77</v>
      </c>
      <c r="G2107" s="9">
        <v>857</v>
      </c>
      <c r="H2107" s="5" t="s">
        <v>20</v>
      </c>
      <c r="I2107" s="5" t="s">
        <v>5285</v>
      </c>
      <c r="J2107" s="12" t="str">
        <f>HYPERLINK("https://www.boe.es/gazeta/dias/1804/09/25/pdfs/GMD-1804-77.pdf#page=7","Abrir facsímil")</f>
        <v>Abrir facsímil</v>
      </c>
      <c r="K2107" s="15" t="s">
        <v>22</v>
      </c>
    </row>
    <row r="2108" spans="1:11" ht="42" customHeight="1">
      <c r="A2108" s="4" t="s">
        <v>5286</v>
      </c>
      <c r="B2108" s="5" t="s">
        <v>5287</v>
      </c>
      <c r="C2108" s="5" t="s">
        <v>27</v>
      </c>
      <c r="D2108" s="5" t="s">
        <v>28</v>
      </c>
      <c r="E2108" s="5" t="s">
        <v>132</v>
      </c>
      <c r="F2108" s="9">
        <v>52</v>
      </c>
      <c r="G2108" s="9">
        <v>570</v>
      </c>
      <c r="H2108" s="5" t="s">
        <v>20</v>
      </c>
      <c r="I2108" s="5" t="s">
        <v>5288</v>
      </c>
      <c r="J2108" s="12" t="str">
        <f>HYPERLINK("https://www.boe.es/gazeta/dias/1804/06/29/pdfs/GMD-1804-52.pdf#page=4","Abrir facsímil")</f>
        <v>Abrir facsímil</v>
      </c>
      <c r="K2108" s="15" t="s">
        <v>22</v>
      </c>
    </row>
    <row r="2109" spans="1:11" ht="42" customHeight="1">
      <c r="A2109" s="4" t="s">
        <v>5289</v>
      </c>
      <c r="B2109" s="5" t="s">
        <v>5290</v>
      </c>
      <c r="C2109" s="5" t="s">
        <v>17</v>
      </c>
      <c r="D2109" s="5" t="s">
        <v>18</v>
      </c>
      <c r="E2109" s="5" t="s">
        <v>350</v>
      </c>
      <c r="F2109" s="9">
        <v>19</v>
      </c>
      <c r="G2109" s="9">
        <v>210</v>
      </c>
      <c r="H2109" s="5" t="s">
        <v>20</v>
      </c>
      <c r="I2109" s="5" t="s">
        <v>5291</v>
      </c>
      <c r="J2109" s="12" t="str">
        <f>HYPERLINK("https://www.boe.es/gazeta/dias/1804/03/06/pdfs/GMD-1804-19.pdf#page=10","Abrir facsímil")</f>
        <v>Abrir facsímil</v>
      </c>
      <c r="K2109" s="15" t="s">
        <v>22</v>
      </c>
    </row>
    <row r="2110" spans="1:11" ht="42" customHeight="1">
      <c r="A2110" s="4" t="s">
        <v>5289</v>
      </c>
      <c r="B2110" s="5" t="s">
        <v>5290</v>
      </c>
      <c r="C2110" s="5" t="s">
        <v>27</v>
      </c>
      <c r="D2110" s="5" t="s">
        <v>28</v>
      </c>
      <c r="E2110" s="5" t="s">
        <v>497</v>
      </c>
      <c r="F2110" s="9">
        <v>25</v>
      </c>
      <c r="G2110" s="9">
        <v>285</v>
      </c>
      <c r="H2110" s="5" t="s">
        <v>20</v>
      </c>
      <c r="I2110" s="5" t="s">
        <v>5292</v>
      </c>
      <c r="J2110" s="12" t="str">
        <f>HYPERLINK("https://www.boe.es/gazeta/dias/1804/03/27/pdfs/GMD-1804-25.pdf#page=7","Abrir facsímil")</f>
        <v>Abrir facsímil</v>
      </c>
      <c r="K2110" s="15" t="s">
        <v>22</v>
      </c>
    </row>
    <row r="2111" spans="1:11" ht="42" customHeight="1">
      <c r="A2111" s="4" t="s">
        <v>5293</v>
      </c>
      <c r="B2111" s="5" t="s">
        <v>5294</v>
      </c>
      <c r="C2111" s="5" t="s">
        <v>27</v>
      </c>
      <c r="D2111" s="5" t="s">
        <v>28</v>
      </c>
      <c r="E2111" s="5" t="s">
        <v>37</v>
      </c>
      <c r="F2111" s="9">
        <v>29</v>
      </c>
      <c r="G2111" s="9">
        <v>320</v>
      </c>
      <c r="H2111" s="5" t="s">
        <v>20</v>
      </c>
      <c r="I2111" s="5" t="s">
        <v>5295</v>
      </c>
      <c r="J2111" s="12" t="str">
        <f>HYPERLINK("https://www.boe.es/gazeta/dias/1804/04/10/pdfs/GMD-1804-29.pdf#page=10","Abrir facsímil")</f>
        <v>Abrir facsímil</v>
      </c>
      <c r="K2111" s="15" t="s">
        <v>22</v>
      </c>
    </row>
    <row r="2112" spans="1:11" ht="42" customHeight="1">
      <c r="A2112" s="4" t="s">
        <v>5296</v>
      </c>
      <c r="B2112" s="5" t="s">
        <v>5297</v>
      </c>
      <c r="C2112" s="5" t="s">
        <v>57</v>
      </c>
      <c r="D2112" s="5" t="s">
        <v>58</v>
      </c>
      <c r="E2112" s="5" t="s">
        <v>637</v>
      </c>
      <c r="F2112" s="9">
        <v>74</v>
      </c>
      <c r="G2112" s="9">
        <v>825</v>
      </c>
      <c r="H2112" s="5" t="s">
        <v>20</v>
      </c>
      <c r="I2112" s="5" t="s">
        <v>5298</v>
      </c>
      <c r="J2112" s="12" t="str">
        <f>HYPERLINK("https://www.boe.es/gazeta/dias/1804/09/14/pdfs/GMD-1804-74.pdf#page=3","Abrir facsímil")</f>
        <v>Abrir facsímil</v>
      </c>
      <c r="K2112" s="15" t="s">
        <v>22</v>
      </c>
    </row>
    <row r="2113" spans="1:11" ht="42" customHeight="1">
      <c r="A2113" s="4" t="s">
        <v>5296</v>
      </c>
      <c r="B2113" s="5" t="s">
        <v>5297</v>
      </c>
      <c r="C2113" s="5" t="s">
        <v>57</v>
      </c>
      <c r="D2113" s="5" t="s">
        <v>58</v>
      </c>
      <c r="E2113" s="5" t="s">
        <v>47</v>
      </c>
      <c r="F2113" s="9">
        <v>78</v>
      </c>
      <c r="G2113" s="9">
        <v>866</v>
      </c>
      <c r="H2113" s="5" t="s">
        <v>20</v>
      </c>
      <c r="I2113" s="5" t="s">
        <v>5299</v>
      </c>
      <c r="J2113" s="12" t="str">
        <f>HYPERLINK("https://www.boe.es/gazeta/dias/1804/09/28/pdfs/GMD-1804-78.pdf#page=4","Abrir facsímil")</f>
        <v>Abrir facsímil</v>
      </c>
      <c r="K2113" s="15" t="s">
        <v>22</v>
      </c>
    </row>
    <row r="2114" spans="1:11" ht="42" customHeight="1">
      <c r="A2114" s="4" t="s">
        <v>5296</v>
      </c>
      <c r="B2114" s="5" t="s">
        <v>5297</v>
      </c>
      <c r="C2114" s="5" t="s">
        <v>27</v>
      </c>
      <c r="D2114" s="5" t="s">
        <v>28</v>
      </c>
      <c r="E2114" s="5" t="s">
        <v>81</v>
      </c>
      <c r="F2114" s="9">
        <v>98</v>
      </c>
      <c r="G2114" s="9">
        <v>1087</v>
      </c>
      <c r="H2114" s="5" t="s">
        <v>20</v>
      </c>
      <c r="I2114" s="5" t="s">
        <v>5300</v>
      </c>
      <c r="J2114" s="12" t="str">
        <f>HYPERLINK("https://www.boe.es/gazeta/dias/1804/12/07/pdfs/GMD-1804-98.pdf#page=3","Abrir facsímil")</f>
        <v>Abrir facsímil</v>
      </c>
      <c r="K2114" s="15" t="s">
        <v>22</v>
      </c>
    </row>
    <row r="2115" spans="1:11" ht="42" customHeight="1">
      <c r="A2115" s="4" t="s">
        <v>5301</v>
      </c>
      <c r="B2115" s="5" t="s">
        <v>5302</v>
      </c>
      <c r="C2115" s="5" t="s">
        <v>57</v>
      </c>
      <c r="D2115" s="5" t="s">
        <v>58</v>
      </c>
      <c r="E2115" s="5" t="s">
        <v>466</v>
      </c>
      <c r="F2115" s="9">
        <v>76</v>
      </c>
      <c r="G2115" s="9">
        <v>845</v>
      </c>
      <c r="H2115" s="5" t="s">
        <v>20</v>
      </c>
      <c r="I2115" s="5" t="s">
        <v>5303</v>
      </c>
      <c r="J2115" s="12" t="str">
        <f>HYPERLINK("https://www.boe.es/gazeta/dias/1804/09/21/pdfs/GMD-1804-76.pdf#page=3","Abrir facsímil")</f>
        <v>Abrir facsímil</v>
      </c>
      <c r="K2115" s="15" t="s">
        <v>22</v>
      </c>
    </row>
    <row r="2116" spans="1:11" ht="42" customHeight="1">
      <c r="A2116" s="4" t="s">
        <v>5304</v>
      </c>
      <c r="B2116" s="5" t="s">
        <v>5305</v>
      </c>
      <c r="C2116" s="5" t="s">
        <v>65</v>
      </c>
      <c r="D2116" s="5" t="s">
        <v>66</v>
      </c>
      <c r="E2116" s="5" t="s">
        <v>388</v>
      </c>
      <c r="F2116" s="9">
        <v>18</v>
      </c>
      <c r="G2116" s="9">
        <v>199</v>
      </c>
      <c r="H2116" s="5" t="s">
        <v>20</v>
      </c>
      <c r="I2116" s="5" t="s">
        <v>5306</v>
      </c>
      <c r="J2116" s="12" t="str">
        <f>HYPERLINK("https://www.boe.es/gazeta/dias/1804/03/02/pdfs/GMD-1804-18.pdf#page=11","Abrir facsímil")</f>
        <v>Abrir facsímil</v>
      </c>
      <c r="K2116" s="15" t="s">
        <v>22</v>
      </c>
    </row>
    <row r="2117" spans="1:11" ht="42" customHeight="1">
      <c r="A2117" s="4" t="s">
        <v>5307</v>
      </c>
      <c r="B2117" s="5" t="s">
        <v>5308</v>
      </c>
      <c r="C2117" s="5" t="s">
        <v>27</v>
      </c>
      <c r="D2117" s="5" t="s">
        <v>28</v>
      </c>
      <c r="E2117" s="5" t="s">
        <v>29</v>
      </c>
      <c r="F2117" s="9">
        <v>88</v>
      </c>
      <c r="G2117" s="9">
        <v>977</v>
      </c>
      <c r="H2117" s="5" t="s">
        <v>20</v>
      </c>
      <c r="I2117" s="5" t="s">
        <v>5309</v>
      </c>
      <c r="J2117" s="12" t="str">
        <f>HYPERLINK("https://www.boe.es/gazeta/dias/1804/11/02/pdfs/GMD-1804-88.pdf#page=9","Abrir facsímil")</f>
        <v>Abrir facsímil</v>
      </c>
      <c r="K2117" s="15" t="s">
        <v>22</v>
      </c>
    </row>
    <row r="2118" spans="1:11" ht="42" customHeight="1">
      <c r="A2118" s="4" t="s">
        <v>5310</v>
      </c>
      <c r="B2118" s="5" t="s">
        <v>5311</v>
      </c>
      <c r="C2118" s="5" t="s">
        <v>65</v>
      </c>
      <c r="D2118" s="5" t="s">
        <v>66</v>
      </c>
      <c r="E2118" s="5" t="s">
        <v>77</v>
      </c>
      <c r="F2118" s="9">
        <v>32</v>
      </c>
      <c r="G2118" s="9">
        <v>356</v>
      </c>
      <c r="H2118" s="5" t="s">
        <v>20</v>
      </c>
      <c r="I2118" s="5" t="s">
        <v>5312</v>
      </c>
      <c r="J2118" s="12" t="str">
        <f>HYPERLINK("https://www.boe.es/gazeta/dias/1804/04/20/pdfs/GMD-1804-32.pdf#page=10","Abrir facsímil")</f>
        <v>Abrir facsímil</v>
      </c>
      <c r="K2118" s="15" t="s">
        <v>22</v>
      </c>
    </row>
    <row r="2119" spans="1:11" ht="42" customHeight="1">
      <c r="A2119" s="4" t="s">
        <v>5313</v>
      </c>
      <c r="B2119" s="5" t="s">
        <v>5313</v>
      </c>
      <c r="C2119" s="5" t="s">
        <v>262</v>
      </c>
      <c r="D2119" s="5" t="s">
        <v>263</v>
      </c>
      <c r="E2119" s="5" t="s">
        <v>140</v>
      </c>
      <c r="F2119" s="9">
        <v>39</v>
      </c>
      <c r="G2119" s="9" t="s">
        <v>122</v>
      </c>
      <c r="H2119" s="5" t="s">
        <v>20</v>
      </c>
      <c r="I2119" s="5" t="s">
        <v>5314</v>
      </c>
      <c r="J2119" s="12" t="str">
        <f>HYPERLINK("https://www.boe.es/gazeta/dias/1804/05/15/pdfs/GMD-C-1804-39.pdf#page=3","Abrir facsímil")</f>
        <v>Abrir facsímil</v>
      </c>
      <c r="K2119" s="15" t="s">
        <v>22</v>
      </c>
    </row>
    <row r="2120" spans="1:11" ht="42" customHeight="1">
      <c r="A2120" s="4" t="s">
        <v>5313</v>
      </c>
      <c r="B2120" s="5" t="s">
        <v>5313</v>
      </c>
      <c r="C2120" s="5" t="s">
        <v>85</v>
      </c>
      <c r="D2120" s="5" t="s">
        <v>86</v>
      </c>
      <c r="E2120" s="5" t="s">
        <v>208</v>
      </c>
      <c r="F2120" s="9">
        <v>97</v>
      </c>
      <c r="G2120" s="9">
        <v>1084</v>
      </c>
      <c r="H2120" s="5" t="s">
        <v>20</v>
      </c>
      <c r="I2120" s="5" t="s">
        <v>5315</v>
      </c>
      <c r="J2120" s="12" t="str">
        <f>HYPERLINK("https://www.boe.es/gazeta/dias/1804/12/04/pdfs/GMD-1804-97.pdf#page=12","Abrir facsímil")</f>
        <v>Abrir facsímil</v>
      </c>
      <c r="K2120" s="15" t="s">
        <v>22</v>
      </c>
    </row>
    <row r="2121" spans="1:11" ht="42" customHeight="1">
      <c r="A2121" s="4" t="s">
        <v>5316</v>
      </c>
      <c r="B2121" s="5" t="s">
        <v>5317</v>
      </c>
      <c r="C2121" s="5" t="s">
        <v>65</v>
      </c>
      <c r="D2121" s="5" t="s">
        <v>66</v>
      </c>
      <c r="E2121" s="5" t="s">
        <v>736</v>
      </c>
      <c r="F2121" s="9">
        <v>83</v>
      </c>
      <c r="G2121" s="9">
        <v>918</v>
      </c>
      <c r="H2121" s="5" t="s">
        <v>20</v>
      </c>
      <c r="I2121" s="5" t="s">
        <v>5318</v>
      </c>
      <c r="J2121" s="12" t="str">
        <f>HYPERLINK("https://www.boe.es/gazeta/dias/1804/10/16/pdfs/GMD-1804-83.pdf#page=8","Abrir facsímil")</f>
        <v>Abrir facsímil</v>
      </c>
      <c r="K2121" s="15" t="s">
        <v>22</v>
      </c>
    </row>
    <row r="2122" spans="1:11" ht="42" customHeight="1">
      <c r="A2122" s="4" t="s">
        <v>5319</v>
      </c>
      <c r="B2122" s="5" t="s">
        <v>5320</v>
      </c>
      <c r="C2122" s="5" t="s">
        <v>27</v>
      </c>
      <c r="D2122" s="5" t="s">
        <v>28</v>
      </c>
      <c r="E2122" s="5" t="s">
        <v>950</v>
      </c>
      <c r="F2122" s="9">
        <v>90</v>
      </c>
      <c r="G2122" s="9">
        <v>998</v>
      </c>
      <c r="H2122" s="5" t="s">
        <v>20</v>
      </c>
      <c r="I2122" s="5" t="s">
        <v>5321</v>
      </c>
      <c r="J2122" s="12" t="str">
        <f>HYPERLINK("https://www.boe.es/gazeta/dias/1804/11/09/pdfs/GMD-1804-90.pdf#page=6","Abrir facsímil")</f>
        <v>Abrir facsímil</v>
      </c>
      <c r="K2122" s="15" t="s">
        <v>22</v>
      </c>
    </row>
    <row r="2123" spans="1:11" ht="42" customHeight="1">
      <c r="A2123" s="4" t="s">
        <v>5322</v>
      </c>
      <c r="B2123" s="5" t="s">
        <v>5323</v>
      </c>
      <c r="C2123" s="5" t="s">
        <v>27</v>
      </c>
      <c r="D2123" s="5" t="s">
        <v>28</v>
      </c>
      <c r="E2123" s="5" t="s">
        <v>37</v>
      </c>
      <c r="F2123" s="9">
        <v>29</v>
      </c>
      <c r="G2123" s="9">
        <v>319</v>
      </c>
      <c r="H2123" s="5" t="s">
        <v>20</v>
      </c>
      <c r="I2123" s="5" t="s">
        <v>5324</v>
      </c>
      <c r="J2123" s="12" t="str">
        <f>HYPERLINK("https://www.boe.es/gazeta/dias/1804/04/10/pdfs/GMD-1804-29.pdf#page=9","Abrir facsímil")</f>
        <v>Abrir facsímil</v>
      </c>
      <c r="K2123" s="15" t="s">
        <v>22</v>
      </c>
    </row>
    <row r="2124" spans="1:11" ht="42" customHeight="1">
      <c r="A2124" s="4" t="s">
        <v>5325</v>
      </c>
      <c r="B2124" s="5" t="s">
        <v>5326</v>
      </c>
      <c r="C2124" s="5" t="s">
        <v>27</v>
      </c>
      <c r="D2124" s="5" t="s">
        <v>28</v>
      </c>
      <c r="E2124" s="5" t="s">
        <v>398</v>
      </c>
      <c r="F2124" s="9">
        <v>22</v>
      </c>
      <c r="G2124" s="9">
        <v>244</v>
      </c>
      <c r="H2124" s="5" t="s">
        <v>20</v>
      </c>
      <c r="I2124" s="5" t="s">
        <v>5327</v>
      </c>
      <c r="J2124" s="12" t="str">
        <f>HYPERLINK("https://www.boe.es/gazeta/dias/1804/03/16/pdfs/GMD-1804-22.pdf#page=8","Abrir facsímil")</f>
        <v>Abrir facsímil</v>
      </c>
      <c r="K2124" s="15" t="s">
        <v>22</v>
      </c>
    </row>
    <row r="2125" spans="1:11" ht="42" customHeight="1">
      <c r="A2125" s="4" t="s">
        <v>5328</v>
      </c>
      <c r="B2125" s="5" t="s">
        <v>5329</v>
      </c>
      <c r="C2125" s="5" t="s">
        <v>27</v>
      </c>
      <c r="D2125" s="5" t="s">
        <v>28</v>
      </c>
      <c r="E2125" s="5" t="s">
        <v>91</v>
      </c>
      <c r="F2125" s="9">
        <v>72</v>
      </c>
      <c r="G2125" s="9">
        <v>806</v>
      </c>
      <c r="H2125" s="5" t="s">
        <v>20</v>
      </c>
      <c r="I2125" s="5" t="s">
        <v>5330</v>
      </c>
      <c r="J2125" s="12" t="str">
        <f>HYPERLINK("https://www.boe.es/gazeta/dias/1804/09/07/pdfs/GMD-1804-72.pdf#page=8","Abrir facsímil")</f>
        <v>Abrir facsímil</v>
      </c>
      <c r="K2125" s="15" t="s">
        <v>22</v>
      </c>
    </row>
    <row r="2126" spans="1:11" ht="42" customHeight="1">
      <c r="A2126" s="4" t="s">
        <v>5331</v>
      </c>
      <c r="B2126" s="5" t="s">
        <v>5332</v>
      </c>
      <c r="C2126" s="5" t="s">
        <v>17</v>
      </c>
      <c r="D2126" s="5" t="s">
        <v>18</v>
      </c>
      <c r="E2126" s="5" t="s">
        <v>136</v>
      </c>
      <c r="F2126" s="9">
        <v>23</v>
      </c>
      <c r="G2126" s="9">
        <v>265</v>
      </c>
      <c r="H2126" s="5" t="s">
        <v>20</v>
      </c>
      <c r="I2126" s="5" t="s">
        <v>5333</v>
      </c>
      <c r="J2126" s="12" t="str">
        <f>HYPERLINK("https://www.boe.es/gazeta/dias/1804/03/20/pdfs/GMD-1804-23.pdf#page=11","Abrir facsímil")</f>
        <v>Abrir facsímil</v>
      </c>
      <c r="K2126" s="15" t="s">
        <v>22</v>
      </c>
    </row>
    <row r="2127" spans="1:11" ht="42" customHeight="1">
      <c r="A2127" s="4" t="s">
        <v>5331</v>
      </c>
      <c r="B2127" s="5" t="s">
        <v>5332</v>
      </c>
      <c r="C2127" s="5" t="s">
        <v>17</v>
      </c>
      <c r="D2127" s="5" t="s">
        <v>18</v>
      </c>
      <c r="E2127" s="5" t="s">
        <v>950</v>
      </c>
      <c r="F2127" s="9">
        <v>90</v>
      </c>
      <c r="G2127" s="9">
        <v>1000</v>
      </c>
      <c r="H2127" s="5" t="s">
        <v>20</v>
      </c>
      <c r="I2127" s="5" t="s">
        <v>5334</v>
      </c>
      <c r="J2127" s="12" t="str">
        <f>HYPERLINK("https://www.boe.es/gazeta/dias/1804/11/09/pdfs/GMD-1804-90.pdf#page=8","Abrir facsímil")</f>
        <v>Abrir facsímil</v>
      </c>
      <c r="K2127" s="15" t="s">
        <v>22</v>
      </c>
    </row>
    <row r="2128" spans="1:11" ht="42" customHeight="1">
      <c r="A2128" s="4" t="s">
        <v>5335</v>
      </c>
      <c r="B2128" s="5" t="s">
        <v>5336</v>
      </c>
      <c r="C2128" s="5" t="s">
        <v>85</v>
      </c>
      <c r="D2128" s="5" t="s">
        <v>86</v>
      </c>
      <c r="E2128" s="5" t="s">
        <v>367</v>
      </c>
      <c r="F2128" s="9">
        <v>64</v>
      </c>
      <c r="G2128" s="9">
        <v>717</v>
      </c>
      <c r="H2128" s="5" t="s">
        <v>20</v>
      </c>
      <c r="I2128" s="5" t="s">
        <v>5337</v>
      </c>
      <c r="J2128" s="12" t="str">
        <f>HYPERLINK("https://www.boe.es/gazeta/dias/1804/08/10/pdfs/GMD-1804-64.pdf#page=11","Abrir facsímil")</f>
        <v>Abrir facsímil</v>
      </c>
      <c r="K2128" s="15" t="s">
        <v>22</v>
      </c>
    </row>
    <row r="2129" spans="1:11" ht="42" customHeight="1">
      <c r="A2129" s="4" t="s">
        <v>5338</v>
      </c>
      <c r="B2129" s="5" t="s">
        <v>5339</v>
      </c>
      <c r="C2129" s="5" t="s">
        <v>198</v>
      </c>
      <c r="D2129" s="5" t="s">
        <v>66</v>
      </c>
      <c r="E2129" s="5" t="s">
        <v>136</v>
      </c>
      <c r="F2129" s="9">
        <v>23</v>
      </c>
      <c r="G2129" s="9">
        <v>264</v>
      </c>
      <c r="H2129" s="5" t="s">
        <v>20</v>
      </c>
      <c r="I2129" s="5" t="s">
        <v>5340</v>
      </c>
      <c r="J2129" s="12" t="str">
        <f>HYPERLINK("https://www.boe.es/gazeta/dias/1804/03/20/pdfs/GMD-1804-23.pdf#page=10","Abrir facsímil")</f>
        <v>Abrir facsímil</v>
      </c>
      <c r="K2129" s="15" t="s">
        <v>22</v>
      </c>
    </row>
    <row r="2130" spans="1:11" ht="42" customHeight="1">
      <c r="A2130" s="4" t="s">
        <v>5338</v>
      </c>
      <c r="B2130" s="5" t="s">
        <v>5339</v>
      </c>
      <c r="C2130" s="5" t="s">
        <v>198</v>
      </c>
      <c r="D2130" s="5" t="s">
        <v>66</v>
      </c>
      <c r="E2130" s="5" t="s">
        <v>670</v>
      </c>
      <c r="F2130" s="9">
        <v>41</v>
      </c>
      <c r="G2130" s="9">
        <v>461</v>
      </c>
      <c r="H2130" s="5" t="s">
        <v>20</v>
      </c>
      <c r="I2130" s="5" t="s">
        <v>5341</v>
      </c>
      <c r="J2130" s="12" t="str">
        <f>HYPERLINK("https://www.boe.es/gazeta/dias/1804/05/22/pdfs/GMD-1804-41.pdf#page=11","Abrir facsímil")</f>
        <v>Abrir facsímil</v>
      </c>
      <c r="K2130" s="15" t="s">
        <v>22</v>
      </c>
    </row>
    <row r="2131" spans="1:11" ht="42" customHeight="1">
      <c r="A2131" s="4" t="s">
        <v>5342</v>
      </c>
      <c r="B2131" s="5" t="s">
        <v>5343</v>
      </c>
      <c r="C2131" s="5" t="s">
        <v>85</v>
      </c>
      <c r="D2131" s="5" t="s">
        <v>86</v>
      </c>
      <c r="E2131" s="5" t="s">
        <v>354</v>
      </c>
      <c r="F2131" s="9">
        <v>1</v>
      </c>
      <c r="G2131" s="9">
        <v>11</v>
      </c>
      <c r="H2131" s="5" t="s">
        <v>20</v>
      </c>
      <c r="I2131" s="5" t="s">
        <v>5344</v>
      </c>
      <c r="J2131" s="12" t="str">
        <f>HYPERLINK("https://www.boe.es/gazeta/dias/1804/01/03/pdfs/GMD-1804-1.pdf#page=11","Abrir facsímil")</f>
        <v>Abrir facsímil</v>
      </c>
      <c r="K2131" s="15" t="s">
        <v>22</v>
      </c>
    </row>
    <row r="2132" spans="1:11" ht="42" customHeight="1">
      <c r="A2132" s="4" t="s">
        <v>5345</v>
      </c>
      <c r="B2132" s="5" t="s">
        <v>5346</v>
      </c>
      <c r="C2132" s="5" t="s">
        <v>27</v>
      </c>
      <c r="D2132" s="5" t="s">
        <v>28</v>
      </c>
      <c r="E2132" s="5" t="s">
        <v>81</v>
      </c>
      <c r="F2132" s="9">
        <v>98</v>
      </c>
      <c r="G2132" s="9">
        <v>1089</v>
      </c>
      <c r="H2132" s="5" t="s">
        <v>20</v>
      </c>
      <c r="I2132" s="5" t="s">
        <v>5347</v>
      </c>
      <c r="J2132" s="12" t="str">
        <f>HYPERLINK("https://www.boe.es/gazeta/dias/1804/12/07/pdfs/GMD-1804-98.pdf#page=5","Abrir facsímil")</f>
        <v>Abrir facsímil</v>
      </c>
      <c r="K2132" s="15" t="s">
        <v>22</v>
      </c>
    </row>
    <row r="2133" spans="1:11" ht="42" customHeight="1">
      <c r="A2133" s="4" t="s">
        <v>5348</v>
      </c>
      <c r="B2133" s="5" t="s">
        <v>5349</v>
      </c>
      <c r="C2133" s="5" t="s">
        <v>27</v>
      </c>
      <c r="D2133" s="5" t="s">
        <v>28</v>
      </c>
      <c r="E2133" s="5" t="s">
        <v>29</v>
      </c>
      <c r="F2133" s="9">
        <v>88</v>
      </c>
      <c r="G2133" s="9">
        <v>976</v>
      </c>
      <c r="H2133" s="5" t="s">
        <v>20</v>
      </c>
      <c r="I2133" s="5" t="s">
        <v>5350</v>
      </c>
      <c r="J2133" s="12" t="str">
        <f>HYPERLINK("https://www.boe.es/gazeta/dias/1804/11/02/pdfs/GMD-1804-88.pdf#page=8","Abrir facsímil")</f>
        <v>Abrir facsímil</v>
      </c>
      <c r="K2133" s="15" t="s">
        <v>22</v>
      </c>
    </row>
    <row r="2134" spans="1:11" ht="42" customHeight="1">
      <c r="A2134" s="4" t="s">
        <v>5351</v>
      </c>
      <c r="B2134" s="5" t="s">
        <v>5352</v>
      </c>
      <c r="C2134" s="5" t="s">
        <v>27</v>
      </c>
      <c r="D2134" s="5" t="s">
        <v>28</v>
      </c>
      <c r="E2134" s="5" t="s">
        <v>199</v>
      </c>
      <c r="F2134" s="9">
        <v>46</v>
      </c>
      <c r="G2134" s="9">
        <v>512</v>
      </c>
      <c r="H2134" s="5" t="s">
        <v>20</v>
      </c>
      <c r="I2134" s="5" t="s">
        <v>5353</v>
      </c>
      <c r="J2134" s="12" t="str">
        <f>HYPERLINK("https://www.boe.es/gazeta/dias/1804/06/08/pdfs/GMD-1804-46.pdf#page=10","Abrir facsímil")</f>
        <v>Abrir facsímil</v>
      </c>
      <c r="K2134" s="15" t="s">
        <v>22</v>
      </c>
    </row>
    <row r="2135" spans="1:11" ht="42" customHeight="1">
      <c r="A2135" s="4" t="s">
        <v>5354</v>
      </c>
      <c r="B2135" s="5" t="s">
        <v>5355</v>
      </c>
      <c r="C2135" s="5" t="s">
        <v>27</v>
      </c>
      <c r="D2135" s="5" t="s">
        <v>28</v>
      </c>
      <c r="E2135" s="5" t="s">
        <v>670</v>
      </c>
      <c r="F2135" s="9">
        <v>41</v>
      </c>
      <c r="G2135" s="9">
        <v>458</v>
      </c>
      <c r="H2135" s="5" t="s">
        <v>20</v>
      </c>
      <c r="I2135" s="5" t="s">
        <v>5356</v>
      </c>
      <c r="J2135" s="12" t="str">
        <f>HYPERLINK("https://www.boe.es/gazeta/dias/1804/05/22/pdfs/GMD-1804-41.pdf#page=8","Abrir facsímil")</f>
        <v>Abrir facsímil</v>
      </c>
      <c r="K2135" s="15" t="s">
        <v>22</v>
      </c>
    </row>
    <row r="2136" spans="1:11" ht="42" customHeight="1">
      <c r="A2136" s="4" t="s">
        <v>5357</v>
      </c>
      <c r="B2136" s="5" t="s">
        <v>5358</v>
      </c>
      <c r="C2136" s="5" t="s">
        <v>27</v>
      </c>
      <c r="D2136" s="5" t="s">
        <v>28</v>
      </c>
      <c r="E2136" s="5" t="s">
        <v>155</v>
      </c>
      <c r="F2136" s="9">
        <v>92</v>
      </c>
      <c r="G2136" s="9">
        <v>1020</v>
      </c>
      <c r="H2136" s="5" t="s">
        <v>20</v>
      </c>
      <c r="I2136" s="5" t="s">
        <v>5359</v>
      </c>
      <c r="J2136" s="12" t="str">
        <f>HYPERLINK("https://www.boe.es/gazeta/dias/1804/11/16/pdfs/GMD-1804-92.pdf#page=8","Abrir facsímil")</f>
        <v>Abrir facsímil</v>
      </c>
      <c r="K2136" s="15" t="s">
        <v>22</v>
      </c>
    </row>
    <row r="2137" spans="1:11" ht="42" customHeight="1">
      <c r="A2137" s="4" t="s">
        <v>5360</v>
      </c>
      <c r="B2137" s="5" t="s">
        <v>5361</v>
      </c>
      <c r="C2137" s="5" t="s">
        <v>27</v>
      </c>
      <c r="D2137" s="5" t="s">
        <v>28</v>
      </c>
      <c r="E2137" s="5" t="s">
        <v>421</v>
      </c>
      <c r="F2137" s="9">
        <v>47</v>
      </c>
      <c r="G2137" s="9">
        <v>528</v>
      </c>
      <c r="H2137" s="5" t="s">
        <v>20</v>
      </c>
      <c r="I2137" s="5" t="s">
        <v>5362</v>
      </c>
      <c r="J2137" s="12" t="str">
        <f>HYPERLINK("https://www.boe.es/gazeta/dias/1804/06/12/pdfs/GMD-1804-47.pdf#page=10","Abrir facsímil")</f>
        <v>Abrir facsímil</v>
      </c>
      <c r="K2137" s="15" t="s">
        <v>22</v>
      </c>
    </row>
    <row r="2138" spans="1:11" ht="42" customHeight="1">
      <c r="A2138" s="4" t="s">
        <v>5363</v>
      </c>
      <c r="B2138" s="5" t="s">
        <v>5364</v>
      </c>
      <c r="C2138" s="5" t="s">
        <v>17</v>
      </c>
      <c r="D2138" s="5" t="s">
        <v>18</v>
      </c>
      <c r="E2138" s="5" t="s">
        <v>67</v>
      </c>
      <c r="F2138" s="9">
        <v>59</v>
      </c>
      <c r="G2138" s="9">
        <v>653</v>
      </c>
      <c r="H2138" s="5" t="s">
        <v>20</v>
      </c>
      <c r="I2138" s="5" t="s">
        <v>5365</v>
      </c>
      <c r="J2138" s="12" t="str">
        <f>HYPERLINK("https://www.boe.es/gazeta/dias/1804/07/24/pdfs/GMD-1804-59.pdf#page=7","Abrir facsímil")</f>
        <v>Abrir facsímil</v>
      </c>
      <c r="K2138" s="15" t="s">
        <v>22</v>
      </c>
    </row>
    <row r="2139" spans="1:11" ht="42" customHeight="1">
      <c r="A2139" s="4" t="s">
        <v>5366</v>
      </c>
      <c r="B2139" s="5" t="s">
        <v>5367</v>
      </c>
      <c r="C2139" s="5" t="s">
        <v>27</v>
      </c>
      <c r="D2139" s="5" t="s">
        <v>28</v>
      </c>
      <c r="E2139" s="5" t="s">
        <v>326</v>
      </c>
      <c r="F2139" s="9">
        <v>69</v>
      </c>
      <c r="G2139" s="9">
        <v>775</v>
      </c>
      <c r="H2139" s="5" t="s">
        <v>20</v>
      </c>
      <c r="I2139" s="5" t="s">
        <v>5368</v>
      </c>
      <c r="J2139" s="12" t="str">
        <f>HYPERLINK("https://www.boe.es/gazeta/dias/1804/08/28/pdfs/GMD-1804-69.pdf#page=9","Abrir facsímil")</f>
        <v>Abrir facsímil</v>
      </c>
      <c r="K2139" s="15" t="s">
        <v>22</v>
      </c>
    </row>
    <row r="2140" spans="1:11" ht="42" customHeight="1">
      <c r="A2140" s="4" t="s">
        <v>5369</v>
      </c>
      <c r="B2140" s="5" t="s">
        <v>5370</v>
      </c>
      <c r="C2140" s="5" t="s">
        <v>85</v>
      </c>
      <c r="D2140" s="5" t="s">
        <v>86</v>
      </c>
      <c r="E2140" s="5" t="s">
        <v>302</v>
      </c>
      <c r="F2140" s="9">
        <v>3</v>
      </c>
      <c r="G2140" s="9">
        <v>28</v>
      </c>
      <c r="H2140" s="5" t="s">
        <v>20</v>
      </c>
      <c r="I2140" s="5" t="s">
        <v>5371</v>
      </c>
      <c r="J2140" s="12" t="str">
        <f>HYPERLINK("https://www.boe.es/gazeta/dias/1804/01/10/pdfs/GMD-1804-3.pdf#page=8","Abrir facsímil")</f>
        <v>Abrir facsímil</v>
      </c>
      <c r="K2140" s="15" t="s">
        <v>22</v>
      </c>
    </row>
    <row r="2141" spans="1:11" ht="42" customHeight="1">
      <c r="A2141" s="4" t="s">
        <v>5369</v>
      </c>
      <c r="B2141" s="5" t="s">
        <v>5370</v>
      </c>
      <c r="C2141" s="5" t="s">
        <v>17</v>
      </c>
      <c r="D2141" s="5" t="s">
        <v>18</v>
      </c>
      <c r="E2141" s="5" t="s">
        <v>172</v>
      </c>
      <c r="F2141" s="9">
        <v>38</v>
      </c>
      <c r="G2141" s="9">
        <v>426</v>
      </c>
      <c r="H2141" s="5" t="s">
        <v>20</v>
      </c>
      <c r="I2141" s="5" t="s">
        <v>5372</v>
      </c>
      <c r="J2141" s="12" t="str">
        <f>HYPERLINK("https://www.boe.es/gazeta/dias/1804/05/11/pdfs/GMD-1804-38.pdf#page=12","Abrir facsímil")</f>
        <v>Abrir facsímil</v>
      </c>
      <c r="K2141" s="15" t="s">
        <v>22</v>
      </c>
    </row>
    <row r="2142" spans="1:11" ht="42" customHeight="1">
      <c r="A2142" s="4" t="s">
        <v>5369</v>
      </c>
      <c r="B2142" s="5" t="s">
        <v>5370</v>
      </c>
      <c r="C2142" s="5" t="s">
        <v>85</v>
      </c>
      <c r="D2142" s="5" t="s">
        <v>86</v>
      </c>
      <c r="E2142" s="5" t="s">
        <v>484</v>
      </c>
      <c r="F2142" s="9">
        <v>53</v>
      </c>
      <c r="G2142" s="9">
        <v>594</v>
      </c>
      <c r="H2142" s="5" t="s">
        <v>20</v>
      </c>
      <c r="I2142" s="5" t="s">
        <v>5373</v>
      </c>
      <c r="J2142" s="12" t="str">
        <f>HYPERLINK("https://www.boe.es/gazeta/dias/1804/07/03/pdfs/GMD-1804-53.pdf#page=12","Abrir facsímil")</f>
        <v>Abrir facsímil</v>
      </c>
      <c r="K2142" s="15" t="s">
        <v>22</v>
      </c>
    </row>
    <row r="2143" spans="1:11" ht="42" customHeight="1">
      <c r="A2143" s="4" t="s">
        <v>5369</v>
      </c>
      <c r="B2143" s="5" t="s">
        <v>5370</v>
      </c>
      <c r="C2143" s="5" t="s">
        <v>85</v>
      </c>
      <c r="D2143" s="5" t="s">
        <v>86</v>
      </c>
      <c r="E2143" s="5" t="s">
        <v>91</v>
      </c>
      <c r="F2143" s="9">
        <v>72</v>
      </c>
      <c r="G2143" s="9">
        <v>809</v>
      </c>
      <c r="H2143" s="5" t="s">
        <v>20</v>
      </c>
      <c r="I2143" s="5" t="s">
        <v>5374</v>
      </c>
      <c r="J2143" s="12" t="str">
        <f>HYPERLINK("https://www.boe.es/gazeta/dias/1804/09/07/pdfs/GMD-1804-72.pdf#page=11","Abrir facsímil")</f>
        <v>Abrir facsímil</v>
      </c>
      <c r="K2143" s="15" t="s">
        <v>22</v>
      </c>
    </row>
    <row r="2144" spans="1:11" ht="42" customHeight="1">
      <c r="A2144" s="4" t="s">
        <v>5369</v>
      </c>
      <c r="B2144" s="5" t="s">
        <v>5370</v>
      </c>
      <c r="C2144" s="5" t="s">
        <v>17</v>
      </c>
      <c r="D2144" s="5" t="s">
        <v>18</v>
      </c>
      <c r="E2144" s="5" t="s">
        <v>234</v>
      </c>
      <c r="F2144" s="9">
        <v>86</v>
      </c>
      <c r="G2144" s="9">
        <v>950</v>
      </c>
      <c r="H2144" s="5" t="s">
        <v>20</v>
      </c>
      <c r="I2144" s="5" t="s">
        <v>5375</v>
      </c>
      <c r="J2144" s="12" t="str">
        <f>HYPERLINK("https://www.boe.es/gazeta/dias/1804/10/26/pdfs/GMD-1804-86.pdf#page=8","Abrir facsímil")</f>
        <v>Abrir facsímil</v>
      </c>
      <c r="K2144" s="15" t="s">
        <v>22</v>
      </c>
    </row>
    <row r="2145" spans="1:11" ht="42" customHeight="1">
      <c r="A2145" s="4" t="s">
        <v>5376</v>
      </c>
      <c r="B2145" s="5" t="s">
        <v>5377</v>
      </c>
      <c r="C2145" s="5" t="s">
        <v>27</v>
      </c>
      <c r="D2145" s="5" t="s">
        <v>28</v>
      </c>
      <c r="E2145" s="5" t="s">
        <v>670</v>
      </c>
      <c r="F2145" s="9">
        <v>41</v>
      </c>
      <c r="G2145" s="9">
        <v>458</v>
      </c>
      <c r="H2145" s="5" t="s">
        <v>20</v>
      </c>
      <c r="I2145" s="5" t="s">
        <v>5378</v>
      </c>
      <c r="J2145" s="12" t="str">
        <f>HYPERLINK("https://www.boe.es/gazeta/dias/1804/05/22/pdfs/GMD-1804-41.pdf#page=8","Abrir facsímil")</f>
        <v>Abrir facsímil</v>
      </c>
      <c r="K2145" s="15" t="s">
        <v>22</v>
      </c>
    </row>
    <row r="2146" spans="1:11" ht="42" customHeight="1">
      <c r="A2146" s="4" t="s">
        <v>5379</v>
      </c>
      <c r="B2146" s="5" t="s">
        <v>5380</v>
      </c>
      <c r="C2146" s="5" t="s">
        <v>27</v>
      </c>
      <c r="D2146" s="5" t="s">
        <v>28</v>
      </c>
      <c r="E2146" s="5" t="s">
        <v>264</v>
      </c>
      <c r="F2146" s="9">
        <v>49</v>
      </c>
      <c r="G2146" s="9">
        <v>544</v>
      </c>
      <c r="H2146" s="5" t="s">
        <v>20</v>
      </c>
      <c r="I2146" s="5" t="s">
        <v>5381</v>
      </c>
      <c r="J2146" s="12" t="str">
        <f>HYPERLINK("https://www.boe.es/gazeta/dias/1804/06/19/pdfs/GMD-1804-49.pdf#page=6","Abrir facsímil")</f>
        <v>Abrir facsímil</v>
      </c>
      <c r="K2146" s="15" t="s">
        <v>22</v>
      </c>
    </row>
    <row r="2147" spans="1:11" ht="42" customHeight="1">
      <c r="A2147" s="4" t="s">
        <v>5382</v>
      </c>
      <c r="B2147" s="5" t="s">
        <v>5383</v>
      </c>
      <c r="C2147" s="5" t="s">
        <v>27</v>
      </c>
      <c r="D2147" s="5" t="s">
        <v>28</v>
      </c>
      <c r="E2147" s="5" t="s">
        <v>258</v>
      </c>
      <c r="F2147" s="9">
        <v>14</v>
      </c>
      <c r="G2147" s="9">
        <v>153</v>
      </c>
      <c r="H2147" s="5" t="s">
        <v>20</v>
      </c>
      <c r="I2147" s="5" t="s">
        <v>5384</v>
      </c>
      <c r="J2147" s="12" t="str">
        <f>HYPERLINK("https://www.boe.es/gazeta/dias/1804/02/17/pdfs/GMD-1804-14.pdf#page=9","Abrir facsímil")</f>
        <v>Abrir facsímil</v>
      </c>
      <c r="K2147" s="15" t="s">
        <v>22</v>
      </c>
    </row>
    <row r="2148" spans="1:11" ht="42" customHeight="1">
      <c r="A2148" s="4" t="s">
        <v>5385</v>
      </c>
      <c r="B2148" s="5" t="s">
        <v>5386</v>
      </c>
      <c r="C2148" s="5" t="s">
        <v>262</v>
      </c>
      <c r="D2148" s="5" t="s">
        <v>263</v>
      </c>
      <c r="E2148" s="5" t="s">
        <v>398</v>
      </c>
      <c r="F2148" s="9">
        <v>22</v>
      </c>
      <c r="G2148" s="9">
        <v>250</v>
      </c>
      <c r="H2148" s="5" t="s">
        <v>20</v>
      </c>
      <c r="I2148" s="5" t="s">
        <v>5387</v>
      </c>
      <c r="J2148" s="12" t="str">
        <f>HYPERLINK("https://www.boe.es/gazeta/dias/1804/03/16/pdfs/GMD-C-1804-22.pdf#page=2","Abrir facsímil")</f>
        <v>Abrir facsímil</v>
      </c>
      <c r="K2148" s="15" t="s">
        <v>22</v>
      </c>
    </row>
    <row r="2149" spans="1:11" ht="42" customHeight="1">
      <c r="A2149" s="4" t="s">
        <v>5385</v>
      </c>
      <c r="B2149" s="5" t="s">
        <v>5386</v>
      </c>
      <c r="C2149" s="5" t="s">
        <v>262</v>
      </c>
      <c r="D2149" s="5" t="s">
        <v>263</v>
      </c>
      <c r="E2149" s="5" t="s">
        <v>666</v>
      </c>
      <c r="F2149" s="9">
        <v>57</v>
      </c>
      <c r="G2149" s="9">
        <v>636</v>
      </c>
      <c r="H2149" s="5" t="s">
        <v>20</v>
      </c>
      <c r="I2149" s="5" t="s">
        <v>5388</v>
      </c>
      <c r="J2149" s="12" t="str">
        <f>HYPERLINK("https://www.boe.es/gazeta/dias/1804/07/17/pdfs/GMD-C-1804-57.pdf#page=2","Abrir facsímil")</f>
        <v>Abrir facsímil</v>
      </c>
      <c r="K2149" s="15" t="s">
        <v>22</v>
      </c>
    </row>
    <row r="2150" spans="1:11" ht="42" customHeight="1">
      <c r="A2150" s="4" t="s">
        <v>5389</v>
      </c>
      <c r="B2150" s="5" t="s">
        <v>5390</v>
      </c>
      <c r="C2150" s="5" t="s">
        <v>17</v>
      </c>
      <c r="D2150" s="5" t="s">
        <v>18</v>
      </c>
      <c r="E2150" s="5" t="s">
        <v>1095</v>
      </c>
      <c r="F2150" s="9">
        <v>73</v>
      </c>
      <c r="G2150" s="9">
        <v>821</v>
      </c>
      <c r="H2150" s="5" t="s">
        <v>20</v>
      </c>
      <c r="I2150" s="5" t="s">
        <v>5391</v>
      </c>
      <c r="J2150" s="12" t="str">
        <f>HYPERLINK("https://www.boe.es/gazeta/dias/1804/09/11/pdfs/GMD-1804-73.pdf#page=11","Abrir facsímil")</f>
        <v>Abrir facsímil</v>
      </c>
      <c r="K2150" s="15" t="s">
        <v>22</v>
      </c>
    </row>
    <row r="2151" spans="1:11" ht="42" customHeight="1">
      <c r="A2151" s="4" t="s">
        <v>5392</v>
      </c>
      <c r="B2151" s="5" t="s">
        <v>5393</v>
      </c>
      <c r="C2151" s="5" t="s">
        <v>198</v>
      </c>
      <c r="D2151" s="5" t="s">
        <v>66</v>
      </c>
      <c r="E2151" s="5" t="s">
        <v>354</v>
      </c>
      <c r="F2151" s="9">
        <v>1</v>
      </c>
      <c r="G2151" s="9">
        <v>11</v>
      </c>
      <c r="H2151" s="5" t="s">
        <v>20</v>
      </c>
      <c r="I2151" s="5" t="s">
        <v>5394</v>
      </c>
      <c r="J2151" s="12" t="str">
        <f>HYPERLINK("https://www.boe.es/gazeta/dias/1804/01/03/pdfs/GMD-1804-1.pdf#page=11","Abrir facsímil")</f>
        <v>Abrir facsímil</v>
      </c>
      <c r="K2151" s="15" t="s">
        <v>22</v>
      </c>
    </row>
    <row r="2152" spans="1:11" ht="42" customHeight="1">
      <c r="A2152" s="4" t="s">
        <v>5395</v>
      </c>
      <c r="B2152" s="5" t="s">
        <v>5396</v>
      </c>
      <c r="C2152" s="5" t="s">
        <v>198</v>
      </c>
      <c r="D2152" s="5" t="s">
        <v>66</v>
      </c>
      <c r="E2152" s="5" t="s">
        <v>111</v>
      </c>
      <c r="F2152" s="9">
        <v>40</v>
      </c>
      <c r="G2152" s="9">
        <v>450</v>
      </c>
      <c r="H2152" s="5" t="s">
        <v>20</v>
      </c>
      <c r="I2152" s="5" t="s">
        <v>5397</v>
      </c>
      <c r="J2152" s="12" t="str">
        <f>HYPERLINK("https://www.boe.es/gazeta/dias/1804/05/18/pdfs/GMD-1804-40.pdf#page=12","Abrir facsímil")</f>
        <v>Abrir facsímil</v>
      </c>
      <c r="K2152" s="15" t="s">
        <v>22</v>
      </c>
    </row>
    <row r="2153" spans="1:11" ht="42" customHeight="1">
      <c r="A2153" s="4" t="s">
        <v>5398</v>
      </c>
      <c r="B2153" s="5" t="s">
        <v>5399</v>
      </c>
      <c r="C2153" s="5" t="s">
        <v>17</v>
      </c>
      <c r="D2153" s="5" t="s">
        <v>18</v>
      </c>
      <c r="E2153" s="5" t="s">
        <v>97</v>
      </c>
      <c r="F2153" s="9">
        <v>50</v>
      </c>
      <c r="G2153" s="9">
        <v>552</v>
      </c>
      <c r="H2153" s="5" t="s">
        <v>20</v>
      </c>
      <c r="I2153" s="5" t="s">
        <v>5400</v>
      </c>
      <c r="J2153" s="12" t="str">
        <f>HYPERLINK("https://www.boe.es/gazeta/dias/1804/06/22/pdfs/GMD-1804-50.pdf#page=6","Abrir facsímil")</f>
        <v>Abrir facsímil</v>
      </c>
      <c r="K2153" s="15" t="s">
        <v>22</v>
      </c>
    </row>
    <row r="2154" spans="1:11" ht="42" customHeight="1">
      <c r="A2154" s="4" t="s">
        <v>5401</v>
      </c>
      <c r="B2154" s="5" t="s">
        <v>5402</v>
      </c>
      <c r="C2154" s="5" t="s">
        <v>120</v>
      </c>
      <c r="D2154" s="5" t="s">
        <v>121</v>
      </c>
      <c r="E2154" s="5" t="s">
        <v>33</v>
      </c>
      <c r="F2154" s="9">
        <v>48</v>
      </c>
      <c r="G2154" s="9" t="s">
        <v>285</v>
      </c>
      <c r="H2154" s="5" t="s">
        <v>20</v>
      </c>
      <c r="I2154" s="5" t="s">
        <v>5403</v>
      </c>
      <c r="J2154" s="12" t="str">
        <f>HYPERLINK("https://www.boe.es/gazeta/dias/1804/06/15/pdfs/GMD-C-1804-48.pdf#page=2","Abrir facsímil")</f>
        <v>Abrir facsímil</v>
      </c>
      <c r="K2154" s="15" t="s">
        <v>22</v>
      </c>
    </row>
    <row r="2155" spans="1:11" ht="42" customHeight="1">
      <c r="A2155" s="4" t="s">
        <v>5404</v>
      </c>
      <c r="B2155" s="5" t="s">
        <v>5405</v>
      </c>
      <c r="C2155" s="5" t="s">
        <v>85</v>
      </c>
      <c r="D2155" s="5" t="s">
        <v>86</v>
      </c>
      <c r="E2155" s="5" t="s">
        <v>245</v>
      </c>
      <c r="F2155" s="9">
        <v>6</v>
      </c>
      <c r="G2155" s="9">
        <v>60</v>
      </c>
      <c r="H2155" s="5" t="s">
        <v>20</v>
      </c>
      <c r="I2155" s="5" t="s">
        <v>5406</v>
      </c>
      <c r="J2155" s="12" t="str">
        <f>HYPERLINK("https://www.boe.es/gazeta/dias/1804/01/20/pdfs/GMD-1804-6.pdf#page=12","Abrir facsímil")</f>
        <v>Abrir facsímil</v>
      </c>
      <c r="K2155" s="15" t="s">
        <v>22</v>
      </c>
    </row>
    <row r="2156" spans="1:11" ht="42" customHeight="1">
      <c r="A2156" s="4" t="s">
        <v>5404</v>
      </c>
      <c r="B2156" s="5" t="s">
        <v>5405</v>
      </c>
      <c r="C2156" s="5" t="s">
        <v>120</v>
      </c>
      <c r="D2156" s="5" t="s">
        <v>121</v>
      </c>
      <c r="E2156" s="5" t="s">
        <v>33</v>
      </c>
      <c r="F2156" s="9">
        <v>48</v>
      </c>
      <c r="G2156" s="9" t="s">
        <v>819</v>
      </c>
      <c r="H2156" s="5" t="s">
        <v>20</v>
      </c>
      <c r="I2156" s="5" t="s">
        <v>5407</v>
      </c>
      <c r="J2156" s="12" t="str">
        <f>HYPERLINK("https://www.boe.es/gazeta/dias/1804/06/15/pdfs/GMD-C-1804-48.pdf#page=4","Abrir facsímil")</f>
        <v>Abrir facsímil</v>
      </c>
      <c r="K2156" s="15" t="s">
        <v>22</v>
      </c>
    </row>
    <row r="2157" spans="1:11" ht="42" customHeight="1">
      <c r="A2157" s="4" t="s">
        <v>5408</v>
      </c>
      <c r="B2157" s="5" t="s">
        <v>5409</v>
      </c>
      <c r="C2157" s="5" t="s">
        <v>27</v>
      </c>
      <c r="D2157" s="5" t="s">
        <v>28</v>
      </c>
      <c r="E2157" s="5" t="s">
        <v>538</v>
      </c>
      <c r="F2157" s="9">
        <v>27</v>
      </c>
      <c r="G2157" s="9">
        <v>300</v>
      </c>
      <c r="H2157" s="5" t="s">
        <v>20</v>
      </c>
      <c r="I2157" s="5" t="s">
        <v>5410</v>
      </c>
      <c r="J2157" s="12" t="str">
        <f>HYPERLINK("https://www.boe.es/gazeta/dias/1804/04/03/pdfs/GMD-1804-27.pdf#page=6","Abrir facsímil")</f>
        <v>Abrir facsímil</v>
      </c>
      <c r="K2157" s="15" t="s">
        <v>22</v>
      </c>
    </row>
    <row r="2158" spans="1:11" ht="42" customHeight="1">
      <c r="A2158" s="4" t="s">
        <v>5411</v>
      </c>
      <c r="B2158" s="5" t="s">
        <v>5412</v>
      </c>
      <c r="C2158" s="5" t="s">
        <v>27</v>
      </c>
      <c r="D2158" s="5" t="s">
        <v>28</v>
      </c>
      <c r="E2158" s="5" t="s">
        <v>308</v>
      </c>
      <c r="F2158" s="9">
        <v>96</v>
      </c>
      <c r="G2158" s="9">
        <v>1068</v>
      </c>
      <c r="H2158" s="5" t="s">
        <v>20</v>
      </c>
      <c r="I2158" s="5" t="s">
        <v>5413</v>
      </c>
      <c r="J2158" s="12" t="str">
        <f>HYPERLINK("https://www.boe.es/gazeta/dias/1804/11/30/pdfs/GMD-1804-96.pdf#page=8","Abrir facsímil")</f>
        <v>Abrir facsímil</v>
      </c>
      <c r="K2158" s="15" t="s">
        <v>22</v>
      </c>
    </row>
    <row r="2159" spans="1:11" ht="42" customHeight="1">
      <c r="A2159" s="4" t="s">
        <v>5414</v>
      </c>
      <c r="B2159" s="5" t="s">
        <v>5415</v>
      </c>
      <c r="C2159" s="5" t="s">
        <v>120</v>
      </c>
      <c r="D2159" s="5" t="s">
        <v>121</v>
      </c>
      <c r="E2159" s="5" t="s">
        <v>33</v>
      </c>
      <c r="F2159" s="9">
        <v>48</v>
      </c>
      <c r="G2159" s="9" t="s">
        <v>98</v>
      </c>
      <c r="H2159" s="5" t="s">
        <v>20</v>
      </c>
      <c r="I2159" s="5" t="s">
        <v>5416</v>
      </c>
      <c r="J2159" s="12" t="str">
        <f>HYPERLINK("https://www.boe.es/gazeta/dias/1804/06/15/pdfs/GMD-C-1804-48.pdf#page=1","Abrir facsímil")</f>
        <v>Abrir facsímil</v>
      </c>
      <c r="K2159" s="15" t="s">
        <v>22</v>
      </c>
    </row>
    <row r="2160" spans="1:11" ht="42" customHeight="1">
      <c r="A2160" s="4" t="s">
        <v>5417</v>
      </c>
      <c r="B2160" s="5" t="s">
        <v>5418</v>
      </c>
      <c r="C2160" s="5" t="s">
        <v>27</v>
      </c>
      <c r="D2160" s="5" t="s">
        <v>28</v>
      </c>
      <c r="E2160" s="5" t="s">
        <v>103</v>
      </c>
      <c r="F2160" s="9">
        <v>11</v>
      </c>
      <c r="G2160" s="9">
        <v>123</v>
      </c>
      <c r="H2160" s="5" t="s">
        <v>20</v>
      </c>
      <c r="I2160" s="5" t="s">
        <v>5419</v>
      </c>
      <c r="J2160" s="12" t="str">
        <f>HYPERLINK("https://www.boe.es/gazeta/dias/1804/02/07/pdfs/GMD-1804-11.pdf#page=11","Abrir facsímil")</f>
        <v>Abrir facsímil</v>
      </c>
      <c r="K2160" s="15" t="s">
        <v>22</v>
      </c>
    </row>
    <row r="2161" spans="1:11" ht="42" customHeight="1">
      <c r="A2161" s="4" t="s">
        <v>5417</v>
      </c>
      <c r="B2161" s="5" t="s">
        <v>5418</v>
      </c>
      <c r="C2161" s="5" t="s">
        <v>27</v>
      </c>
      <c r="D2161" s="5" t="s">
        <v>28</v>
      </c>
      <c r="E2161" s="5" t="s">
        <v>178</v>
      </c>
      <c r="F2161" s="9">
        <v>20</v>
      </c>
      <c r="G2161" s="9">
        <v>220</v>
      </c>
      <c r="H2161" s="5" t="s">
        <v>20</v>
      </c>
      <c r="I2161" s="5" t="s">
        <v>5420</v>
      </c>
      <c r="J2161" s="12" t="str">
        <f>HYPERLINK("https://www.boe.es/gazeta/dias/1804/03/09/pdfs/GMD-1804-20.pdf#page=8","Abrir facsímil")</f>
        <v>Abrir facsímil</v>
      </c>
      <c r="K2161" s="15" t="s">
        <v>22</v>
      </c>
    </row>
    <row r="2162" spans="1:11" ht="42" customHeight="1">
      <c r="A2162" s="4" t="s">
        <v>5417</v>
      </c>
      <c r="B2162" s="5" t="s">
        <v>5418</v>
      </c>
      <c r="C2162" s="5" t="s">
        <v>27</v>
      </c>
      <c r="D2162" s="5" t="s">
        <v>28</v>
      </c>
      <c r="E2162" s="5" t="s">
        <v>497</v>
      </c>
      <c r="F2162" s="9">
        <v>25</v>
      </c>
      <c r="G2162" s="9">
        <v>285</v>
      </c>
      <c r="H2162" s="5" t="s">
        <v>20</v>
      </c>
      <c r="I2162" s="5" t="s">
        <v>5421</v>
      </c>
      <c r="J2162" s="12" t="str">
        <f>HYPERLINK("https://www.boe.es/gazeta/dias/1804/03/27/pdfs/GMD-1804-25.pdf#page=7","Abrir facsímil")</f>
        <v>Abrir facsímil</v>
      </c>
      <c r="K2162" s="15" t="s">
        <v>22</v>
      </c>
    </row>
    <row r="2163" spans="1:11" ht="42" customHeight="1">
      <c r="A2163" s="4" t="s">
        <v>5422</v>
      </c>
      <c r="B2163" s="5" t="s">
        <v>5423</v>
      </c>
      <c r="C2163" s="5" t="s">
        <v>65</v>
      </c>
      <c r="D2163" s="5" t="s">
        <v>66</v>
      </c>
      <c r="E2163" s="5" t="s">
        <v>140</v>
      </c>
      <c r="F2163" s="9">
        <v>39</v>
      </c>
      <c r="G2163" s="9">
        <v>435</v>
      </c>
      <c r="H2163" s="5" t="s">
        <v>20</v>
      </c>
      <c r="I2163" s="5" t="s">
        <v>5424</v>
      </c>
      <c r="J2163" s="12" t="str">
        <f>HYPERLINK("https://www.boe.es/gazeta/dias/1804/05/15/pdfs/GMD-1804-39.pdf#page=9","Abrir facsímil")</f>
        <v>Abrir facsímil</v>
      </c>
      <c r="K2163" s="15" t="s">
        <v>22</v>
      </c>
    </row>
    <row r="2164" spans="1:11" ht="42" customHeight="1">
      <c r="A2164" s="4" t="s">
        <v>5422</v>
      </c>
      <c r="B2164" s="5" t="s">
        <v>5423</v>
      </c>
      <c r="C2164" s="5" t="s">
        <v>65</v>
      </c>
      <c r="D2164" s="5" t="s">
        <v>66</v>
      </c>
      <c r="E2164" s="5" t="s">
        <v>421</v>
      </c>
      <c r="F2164" s="9">
        <v>47</v>
      </c>
      <c r="G2164" s="9">
        <v>527</v>
      </c>
      <c r="H2164" s="5" t="s">
        <v>20</v>
      </c>
      <c r="I2164" s="5" t="s">
        <v>5425</v>
      </c>
      <c r="J2164" s="12" t="str">
        <f>HYPERLINK("https://www.boe.es/gazeta/dias/1804/06/12/pdfs/GMD-1804-47.pdf#page=9","Abrir facsímil")</f>
        <v>Abrir facsímil</v>
      </c>
      <c r="K2164" s="15" t="s">
        <v>22</v>
      </c>
    </row>
    <row r="2165" spans="1:11" ht="42" customHeight="1">
      <c r="A2165" s="4" t="s">
        <v>5426</v>
      </c>
      <c r="B2165" s="5" t="s">
        <v>5427</v>
      </c>
      <c r="C2165" s="5" t="s">
        <v>65</v>
      </c>
      <c r="D2165" s="5" t="s">
        <v>66</v>
      </c>
      <c r="E2165" s="5" t="s">
        <v>77</v>
      </c>
      <c r="F2165" s="9">
        <v>32</v>
      </c>
      <c r="G2165" s="9">
        <v>356</v>
      </c>
      <c r="H2165" s="5" t="s">
        <v>20</v>
      </c>
      <c r="I2165" s="5" t="s">
        <v>5428</v>
      </c>
      <c r="J2165" s="12" t="str">
        <f>HYPERLINK("https://www.boe.es/gazeta/dias/1804/04/20/pdfs/GMD-1804-32.pdf#page=10","Abrir facsímil")</f>
        <v>Abrir facsímil</v>
      </c>
      <c r="K2165" s="15" t="s">
        <v>22</v>
      </c>
    </row>
    <row r="2166" spans="1:11" ht="42" customHeight="1">
      <c r="A2166" s="4" t="s">
        <v>5429</v>
      </c>
      <c r="B2166" s="5" t="s">
        <v>5430</v>
      </c>
      <c r="C2166" s="5" t="s">
        <v>120</v>
      </c>
      <c r="D2166" s="5" t="s">
        <v>121</v>
      </c>
      <c r="E2166" s="5" t="s">
        <v>33</v>
      </c>
      <c r="F2166" s="9">
        <v>48</v>
      </c>
      <c r="G2166" s="9" t="s">
        <v>285</v>
      </c>
      <c r="H2166" s="5" t="s">
        <v>20</v>
      </c>
      <c r="I2166" s="5" t="s">
        <v>5431</v>
      </c>
      <c r="J2166" s="12" t="str">
        <f>HYPERLINK("https://www.boe.es/gazeta/dias/1804/06/15/pdfs/GMD-C-1804-48.pdf#page=2","Abrir facsímil")</f>
        <v>Abrir facsímil</v>
      </c>
      <c r="K2166" s="15" t="s">
        <v>22</v>
      </c>
    </row>
    <row r="2167" spans="1:11" ht="42" customHeight="1">
      <c r="A2167" s="4" t="s">
        <v>5432</v>
      </c>
      <c r="B2167" s="5" t="s">
        <v>5433</v>
      </c>
      <c r="C2167" s="5" t="s">
        <v>27</v>
      </c>
      <c r="D2167" s="5" t="s">
        <v>28</v>
      </c>
      <c r="E2167" s="5" t="s">
        <v>623</v>
      </c>
      <c r="F2167" s="9">
        <v>51</v>
      </c>
      <c r="G2167" s="9">
        <v>562</v>
      </c>
      <c r="H2167" s="5" t="s">
        <v>20</v>
      </c>
      <c r="I2167" s="5" t="s">
        <v>5434</v>
      </c>
      <c r="J2167" s="12" t="str">
        <f>HYPERLINK("https://www.boe.es/gazeta/dias/1804/06/26/pdfs/GMD-1804-51.pdf#page=8","Abrir facsímil")</f>
        <v>Abrir facsímil</v>
      </c>
      <c r="K2167" s="15" t="s">
        <v>22</v>
      </c>
    </row>
    <row r="2168" spans="1:11" ht="42" customHeight="1">
      <c r="A2168" s="4" t="s">
        <v>5432</v>
      </c>
      <c r="B2168" s="5" t="s">
        <v>5433</v>
      </c>
      <c r="C2168" s="5" t="s">
        <v>17</v>
      </c>
      <c r="D2168" s="5" t="s">
        <v>18</v>
      </c>
      <c r="E2168" s="5" t="s">
        <v>71</v>
      </c>
      <c r="F2168" s="9">
        <v>99</v>
      </c>
      <c r="G2168" s="9">
        <v>1107</v>
      </c>
      <c r="H2168" s="5" t="s">
        <v>20</v>
      </c>
      <c r="I2168" s="5" t="s">
        <v>5435</v>
      </c>
      <c r="J2168" s="12" t="str">
        <f>HYPERLINK("https://www.boe.es/gazeta/dias/1804/12/11/pdfs/GMD-1804-99.pdf#page=7","Abrir facsímil")</f>
        <v>Abrir facsímil</v>
      </c>
      <c r="K2168" s="15" t="s">
        <v>22</v>
      </c>
    </row>
    <row r="2169" spans="1:11" ht="42" customHeight="1">
      <c r="A2169" s="4" t="s">
        <v>5436</v>
      </c>
      <c r="B2169" s="5" t="s">
        <v>5437</v>
      </c>
      <c r="C2169" s="5" t="s">
        <v>27</v>
      </c>
      <c r="D2169" s="5" t="s">
        <v>28</v>
      </c>
      <c r="E2169" s="5" t="s">
        <v>950</v>
      </c>
      <c r="F2169" s="9">
        <v>90</v>
      </c>
      <c r="G2169" s="9">
        <v>999</v>
      </c>
      <c r="H2169" s="5" t="s">
        <v>20</v>
      </c>
      <c r="I2169" s="5" t="s">
        <v>5438</v>
      </c>
      <c r="J2169" s="12" t="str">
        <f>HYPERLINK("https://www.boe.es/gazeta/dias/1804/11/09/pdfs/GMD-1804-90.pdf#page=7","Abrir facsímil")</f>
        <v>Abrir facsímil</v>
      </c>
      <c r="K2169" s="15" t="s">
        <v>22</v>
      </c>
    </row>
    <row r="2170" spans="1:11" ht="42" customHeight="1">
      <c r="A2170" s="4" t="s">
        <v>5439</v>
      </c>
      <c r="B2170" s="5" t="s">
        <v>5440</v>
      </c>
      <c r="C2170" s="5" t="s">
        <v>27</v>
      </c>
      <c r="D2170" s="5" t="s">
        <v>28</v>
      </c>
      <c r="E2170" s="5" t="s">
        <v>147</v>
      </c>
      <c r="F2170" s="9">
        <v>77</v>
      </c>
      <c r="G2170" s="9">
        <v>857</v>
      </c>
      <c r="H2170" s="5" t="s">
        <v>20</v>
      </c>
      <c r="I2170" s="5" t="s">
        <v>5441</v>
      </c>
      <c r="J2170" s="12" t="str">
        <f>HYPERLINK("https://www.boe.es/gazeta/dias/1804/09/25/pdfs/GMD-1804-77.pdf#page=7","Abrir facsímil")</f>
        <v>Abrir facsímil</v>
      </c>
      <c r="K2170" s="15" t="s">
        <v>22</v>
      </c>
    </row>
    <row r="2171" spans="1:11" ht="42" customHeight="1">
      <c r="A2171" s="4" t="s">
        <v>5442</v>
      </c>
      <c r="B2171" s="5" t="s">
        <v>5442</v>
      </c>
      <c r="C2171" s="5" t="s">
        <v>57</v>
      </c>
      <c r="D2171" s="5" t="s">
        <v>58</v>
      </c>
      <c r="E2171" s="5" t="s">
        <v>497</v>
      </c>
      <c r="F2171" s="9">
        <v>25</v>
      </c>
      <c r="G2171" s="9">
        <v>280</v>
      </c>
      <c r="H2171" s="5" t="s">
        <v>20</v>
      </c>
      <c r="I2171" s="5" t="s">
        <v>5443</v>
      </c>
      <c r="J2171" s="12" t="str">
        <f>HYPERLINK("https://www.boe.es/gazeta/dias/1804/03/27/pdfs/GMD-1804-25.pdf#page=2","Abrir facsímil")</f>
        <v>Abrir facsímil</v>
      </c>
      <c r="K2171" s="15" t="s">
        <v>22</v>
      </c>
    </row>
    <row r="2172" spans="1:11" ht="42" customHeight="1">
      <c r="A2172" s="4" t="s">
        <v>5444</v>
      </c>
      <c r="B2172" s="5" t="s">
        <v>5445</v>
      </c>
      <c r="C2172" s="5" t="s">
        <v>27</v>
      </c>
      <c r="D2172" s="5" t="s">
        <v>28</v>
      </c>
      <c r="E2172" s="5" t="s">
        <v>37</v>
      </c>
      <c r="F2172" s="9">
        <v>29</v>
      </c>
      <c r="G2172" s="9">
        <v>319</v>
      </c>
      <c r="H2172" s="5" t="s">
        <v>20</v>
      </c>
      <c r="I2172" s="5" t="s">
        <v>5446</v>
      </c>
      <c r="J2172" s="12" t="str">
        <f>HYPERLINK("https://www.boe.es/gazeta/dias/1804/04/10/pdfs/GMD-1804-29.pdf#page=9","Abrir facsímil")</f>
        <v>Abrir facsímil</v>
      </c>
      <c r="K2172" s="15" t="s">
        <v>22</v>
      </c>
    </row>
    <row r="2173" spans="1:11" ht="42" customHeight="1">
      <c r="A2173" s="4" t="s">
        <v>5447</v>
      </c>
      <c r="B2173" s="5" t="s">
        <v>5448</v>
      </c>
      <c r="C2173" s="5" t="s">
        <v>27</v>
      </c>
      <c r="D2173" s="5" t="s">
        <v>28</v>
      </c>
      <c r="E2173" s="5" t="s">
        <v>670</v>
      </c>
      <c r="F2173" s="9">
        <v>41</v>
      </c>
      <c r="G2173" s="9">
        <v>458</v>
      </c>
      <c r="H2173" s="5" t="s">
        <v>20</v>
      </c>
      <c r="I2173" s="5" t="s">
        <v>5449</v>
      </c>
      <c r="J2173" s="12" t="str">
        <f>HYPERLINK("https://www.boe.es/gazeta/dias/1804/05/22/pdfs/GMD-1804-41.pdf#page=8","Abrir facsímil")</f>
        <v>Abrir facsímil</v>
      </c>
      <c r="K2173" s="15" t="s">
        <v>22</v>
      </c>
    </row>
    <row r="2174" spans="1:11" ht="42" customHeight="1">
      <c r="A2174" s="4" t="s">
        <v>5447</v>
      </c>
      <c r="B2174" s="5" t="s">
        <v>5448</v>
      </c>
      <c r="C2174" s="5" t="s">
        <v>27</v>
      </c>
      <c r="D2174" s="5" t="s">
        <v>28</v>
      </c>
      <c r="E2174" s="5" t="s">
        <v>163</v>
      </c>
      <c r="F2174" s="9">
        <v>70</v>
      </c>
      <c r="G2174" s="9">
        <v>784</v>
      </c>
      <c r="H2174" s="5" t="s">
        <v>20</v>
      </c>
      <c r="I2174" s="5" t="s">
        <v>5450</v>
      </c>
      <c r="J2174" s="12" t="str">
        <f>HYPERLINK("https://www.boe.es/gazeta/dias/1804/08/31/pdfs/GMD-1804-70.pdf#page=6","Abrir facsímil")</f>
        <v>Abrir facsímil</v>
      </c>
      <c r="K2174" s="15" t="s">
        <v>22</v>
      </c>
    </row>
    <row r="2175" spans="1:11" ht="42" customHeight="1">
      <c r="A2175" s="4" t="s">
        <v>5451</v>
      </c>
      <c r="B2175" s="5" t="s">
        <v>5452</v>
      </c>
      <c r="C2175" s="5" t="s">
        <v>27</v>
      </c>
      <c r="D2175" s="5" t="s">
        <v>28</v>
      </c>
      <c r="E2175" s="5" t="s">
        <v>398</v>
      </c>
      <c r="F2175" s="9">
        <v>22</v>
      </c>
      <c r="G2175" s="9">
        <v>244</v>
      </c>
      <c r="H2175" s="5" t="s">
        <v>20</v>
      </c>
      <c r="I2175" s="5" t="s">
        <v>5453</v>
      </c>
      <c r="J2175" s="12" t="str">
        <f>HYPERLINK("https://www.boe.es/gazeta/dias/1804/03/16/pdfs/GMD-1804-22.pdf#page=8","Abrir facsímil")</f>
        <v>Abrir facsímil</v>
      </c>
      <c r="K2175" s="15" t="s">
        <v>22</v>
      </c>
    </row>
    <row r="2176" spans="1:11" ht="42" customHeight="1">
      <c r="A2176" s="4" t="s">
        <v>5454</v>
      </c>
      <c r="B2176" s="5" t="s">
        <v>5454</v>
      </c>
      <c r="C2176" s="5" t="s">
        <v>57</v>
      </c>
      <c r="D2176" s="5" t="s">
        <v>58</v>
      </c>
      <c r="E2176" s="5" t="s">
        <v>1179</v>
      </c>
      <c r="F2176" s="9">
        <v>43</v>
      </c>
      <c r="G2176" s="9">
        <v>477</v>
      </c>
      <c r="H2176" s="5" t="s">
        <v>20</v>
      </c>
      <c r="I2176" s="5" t="s">
        <v>5455</v>
      </c>
      <c r="J2176" s="12" t="str">
        <f>HYPERLINK("https://www.boe.es/gazeta/dias/1804/05/29/pdfs/GMD-1804-43.pdf#page=3","Abrir facsímil")</f>
        <v>Abrir facsímil</v>
      </c>
      <c r="K2176" s="15" t="s">
        <v>22</v>
      </c>
    </row>
    <row r="2177" spans="1:11" ht="42" customHeight="1">
      <c r="A2177" s="4" t="s">
        <v>5456</v>
      </c>
      <c r="B2177" s="5" t="s">
        <v>5457</v>
      </c>
      <c r="C2177" s="5" t="s">
        <v>27</v>
      </c>
      <c r="D2177" s="5" t="s">
        <v>28</v>
      </c>
      <c r="E2177" s="5" t="s">
        <v>241</v>
      </c>
      <c r="F2177" s="9">
        <v>71</v>
      </c>
      <c r="G2177" s="9">
        <v>791</v>
      </c>
      <c r="H2177" s="5" t="s">
        <v>20</v>
      </c>
      <c r="I2177" s="5" t="s">
        <v>5458</v>
      </c>
      <c r="J2177" s="12" t="str">
        <f>HYPERLINK("https://www.boe.es/gazeta/dias/1804/09/04/pdfs/GMD-1804-71.pdf#page=5","Abrir facsímil")</f>
        <v>Abrir facsímil</v>
      </c>
      <c r="K2177" s="15" t="s">
        <v>22</v>
      </c>
    </row>
    <row r="2178" spans="1:11" ht="42" customHeight="1">
      <c r="A2178" s="4" t="s">
        <v>5456</v>
      </c>
      <c r="B2178" s="5" t="s">
        <v>5457</v>
      </c>
      <c r="C2178" s="5" t="s">
        <v>17</v>
      </c>
      <c r="D2178" s="5" t="s">
        <v>18</v>
      </c>
      <c r="E2178" s="5" t="s">
        <v>91</v>
      </c>
      <c r="F2178" s="9">
        <v>72</v>
      </c>
      <c r="G2178" s="9">
        <v>808</v>
      </c>
      <c r="H2178" s="5" t="s">
        <v>20</v>
      </c>
      <c r="I2178" s="5" t="s">
        <v>5459</v>
      </c>
      <c r="J2178" s="12" t="str">
        <f>HYPERLINK("https://www.boe.es/gazeta/dias/1804/09/07/pdfs/GMD-1804-72.pdf#page=10","Abrir facsímil")</f>
        <v>Abrir facsímil</v>
      </c>
      <c r="K2178" s="15" t="s">
        <v>22</v>
      </c>
    </row>
    <row r="2179" spans="1:11" ht="42" customHeight="1">
      <c r="A2179" s="4" t="s">
        <v>5460</v>
      </c>
      <c r="B2179" s="5" t="s">
        <v>5461</v>
      </c>
      <c r="C2179" s="5" t="s">
        <v>27</v>
      </c>
      <c r="D2179" s="5" t="s">
        <v>28</v>
      </c>
      <c r="E2179" s="5" t="s">
        <v>699</v>
      </c>
      <c r="F2179" s="9">
        <v>2</v>
      </c>
      <c r="G2179" s="9">
        <v>18</v>
      </c>
      <c r="H2179" s="5" t="s">
        <v>20</v>
      </c>
      <c r="I2179" s="5" t="s">
        <v>5462</v>
      </c>
      <c r="J2179" s="12" t="str">
        <f>HYPERLINK("https://www.boe.es/gazeta/dias/1804/01/06/pdfs/GMD-1804-2.pdf#page=6","Abrir facsímil")</f>
        <v>Abrir facsímil</v>
      </c>
      <c r="K2179" s="15" t="s">
        <v>22</v>
      </c>
    </row>
    <row r="2180" spans="1:11" ht="42" customHeight="1">
      <c r="A2180" s="4" t="s">
        <v>5463</v>
      </c>
      <c r="B2180" s="5" t="s">
        <v>5464</v>
      </c>
      <c r="C2180" s="5" t="s">
        <v>27</v>
      </c>
      <c r="D2180" s="5" t="s">
        <v>28</v>
      </c>
      <c r="E2180" s="5" t="s">
        <v>490</v>
      </c>
      <c r="F2180" s="9">
        <v>100</v>
      </c>
      <c r="G2180" s="9">
        <v>1119</v>
      </c>
      <c r="H2180" s="5" t="s">
        <v>20</v>
      </c>
      <c r="I2180" s="5" t="s">
        <v>5465</v>
      </c>
      <c r="J2180" s="12" t="str">
        <f>HYPERLINK("https://www.boe.es/gazeta/dias/1804/12/14/pdfs/GMD-1804-100.pdf#page=11","Abrir facsímil")</f>
        <v>Abrir facsímil</v>
      </c>
      <c r="K2180" s="15" t="s">
        <v>22</v>
      </c>
    </row>
    <row r="2181" spans="1:11" ht="42" customHeight="1">
      <c r="A2181" s="4" t="s">
        <v>5466</v>
      </c>
      <c r="B2181" s="5" t="s">
        <v>5467</v>
      </c>
      <c r="C2181" s="5" t="s">
        <v>27</v>
      </c>
      <c r="D2181" s="5" t="s">
        <v>28</v>
      </c>
      <c r="E2181" s="5" t="s">
        <v>241</v>
      </c>
      <c r="F2181" s="9">
        <v>71</v>
      </c>
      <c r="G2181" s="9">
        <v>797</v>
      </c>
      <c r="H2181" s="5" t="s">
        <v>20</v>
      </c>
      <c r="I2181" s="5" t="s">
        <v>5468</v>
      </c>
      <c r="J2181" s="12" t="str">
        <f>HYPERLINK("https://www.boe.es/gazeta/dias/1804/09/04/pdfs/GMD-C-1804-71.pdf#page=3","Abrir facsímil")</f>
        <v>Abrir facsímil</v>
      </c>
      <c r="K2181" s="15" t="s">
        <v>22</v>
      </c>
    </row>
    <row r="2182" spans="1:11" ht="42" customHeight="1">
      <c r="A2182" s="4" t="s">
        <v>5469</v>
      </c>
      <c r="B2182" s="5" t="s">
        <v>5469</v>
      </c>
      <c r="C2182" s="5" t="s">
        <v>85</v>
      </c>
      <c r="D2182" s="5" t="s">
        <v>86</v>
      </c>
      <c r="E2182" s="5" t="s">
        <v>222</v>
      </c>
      <c r="F2182" s="9">
        <v>4</v>
      </c>
      <c r="G2182" s="9">
        <v>39</v>
      </c>
      <c r="H2182" s="5" t="s">
        <v>20</v>
      </c>
      <c r="I2182" s="5" t="s">
        <v>5470</v>
      </c>
      <c r="J2182" s="12" t="str">
        <f>HYPERLINK("https://www.boe.es/gazeta/dias/1804/01/13/pdfs/GMD-1804-4.pdf#page=11","Abrir facsímil")</f>
        <v>Abrir facsímil</v>
      </c>
      <c r="K2182" s="15" t="s">
        <v>22</v>
      </c>
    </row>
    <row r="2183" spans="1:11" ht="42" customHeight="1">
      <c r="A2183" s="4" t="s">
        <v>5471</v>
      </c>
      <c r="B2183" s="5" t="s">
        <v>5472</v>
      </c>
      <c r="C2183" s="5" t="s">
        <v>27</v>
      </c>
      <c r="D2183" s="5" t="s">
        <v>28</v>
      </c>
      <c r="E2183" s="5" t="s">
        <v>199</v>
      </c>
      <c r="F2183" s="9">
        <v>46</v>
      </c>
      <c r="G2183" s="9">
        <v>512</v>
      </c>
      <c r="H2183" s="5" t="s">
        <v>20</v>
      </c>
      <c r="I2183" s="5" t="s">
        <v>5473</v>
      </c>
      <c r="J2183" s="12" t="str">
        <f>HYPERLINK("https://www.boe.es/gazeta/dias/1804/06/08/pdfs/GMD-1804-46.pdf#page=10","Abrir facsímil")</f>
        <v>Abrir facsímil</v>
      </c>
      <c r="K2183" s="15" t="s">
        <v>22</v>
      </c>
    </row>
    <row r="2184" spans="1:11" ht="42" customHeight="1">
      <c r="A2184" s="4" t="s">
        <v>5474</v>
      </c>
      <c r="B2184" s="5" t="s">
        <v>5475</v>
      </c>
      <c r="C2184" s="5" t="s">
        <v>17</v>
      </c>
      <c r="D2184" s="5" t="s">
        <v>18</v>
      </c>
      <c r="E2184" s="5" t="s">
        <v>704</v>
      </c>
      <c r="F2184" s="9">
        <v>36</v>
      </c>
      <c r="G2184" s="9">
        <v>400</v>
      </c>
      <c r="H2184" s="5" t="s">
        <v>20</v>
      </c>
      <c r="I2184" s="5" t="s">
        <v>5476</v>
      </c>
      <c r="J2184" s="12" t="str">
        <f>HYPERLINK("https://www.boe.es/gazeta/dias/1804/05/04/pdfs/GMD-1804-36.pdf#page=10","Abrir facsímil")</f>
        <v>Abrir facsímil</v>
      </c>
      <c r="K2184" s="15" t="s">
        <v>22</v>
      </c>
    </row>
    <row r="2185" spans="1:11" ht="42" customHeight="1">
      <c r="A2185" s="4" t="s">
        <v>5477</v>
      </c>
      <c r="B2185" s="5" t="s">
        <v>5477</v>
      </c>
      <c r="C2185" s="5" t="s">
        <v>120</v>
      </c>
      <c r="D2185" s="5" t="s">
        <v>121</v>
      </c>
      <c r="E2185" s="5" t="s">
        <v>33</v>
      </c>
      <c r="F2185" s="9">
        <v>48</v>
      </c>
      <c r="G2185" s="9" t="s">
        <v>98</v>
      </c>
      <c r="H2185" s="5" t="s">
        <v>20</v>
      </c>
      <c r="I2185" s="5" t="s">
        <v>5478</v>
      </c>
      <c r="J2185" s="12" t="str">
        <f>HYPERLINK("https://www.boe.es/gazeta/dias/1804/06/15/pdfs/GMD-C-1804-48.pdf#page=1","Abrir facsímil")</f>
        <v>Abrir facsímil</v>
      </c>
      <c r="K2185" s="15" t="s">
        <v>22</v>
      </c>
    </row>
    <row r="2186" spans="1:11" ht="42" customHeight="1">
      <c r="A2186" s="4" t="s">
        <v>5479</v>
      </c>
      <c r="B2186" s="5" t="s">
        <v>5479</v>
      </c>
      <c r="C2186" s="5" t="s">
        <v>17</v>
      </c>
      <c r="D2186" s="5" t="s">
        <v>18</v>
      </c>
      <c r="E2186" s="5" t="s">
        <v>709</v>
      </c>
      <c r="F2186" s="9">
        <v>82</v>
      </c>
      <c r="G2186" s="9">
        <v>905</v>
      </c>
      <c r="H2186" s="5" t="s">
        <v>20</v>
      </c>
      <c r="I2186" s="5" t="s">
        <v>5480</v>
      </c>
      <c r="J2186" s="12" t="str">
        <f>HYPERLINK("https://www.boe.es/gazeta/dias/1804/10/12/pdfs/GMD-1804-82.pdf#page=7","Abrir facsímil")</f>
        <v>Abrir facsímil</v>
      </c>
      <c r="K2186" s="15" t="s">
        <v>22</v>
      </c>
    </row>
    <row r="2187" spans="1:11" ht="42" customHeight="1">
      <c r="A2187" s="4" t="s">
        <v>5481</v>
      </c>
      <c r="B2187" s="5" t="s">
        <v>5482</v>
      </c>
      <c r="C2187" s="5" t="s">
        <v>27</v>
      </c>
      <c r="D2187" s="5" t="s">
        <v>28</v>
      </c>
      <c r="E2187" s="5" t="s">
        <v>67</v>
      </c>
      <c r="F2187" s="9">
        <v>59</v>
      </c>
      <c r="G2187" s="9">
        <v>652</v>
      </c>
      <c r="H2187" s="5" t="s">
        <v>20</v>
      </c>
      <c r="I2187" s="5" t="s">
        <v>5483</v>
      </c>
      <c r="J2187" s="12" t="str">
        <f>HYPERLINK("https://www.boe.es/gazeta/dias/1804/07/24/pdfs/GMD-1804-59.pdf#page=6","Abrir facsímil")</f>
        <v>Abrir facsímil</v>
      </c>
      <c r="K2187" s="15" t="s">
        <v>22</v>
      </c>
    </row>
    <row r="2188" spans="1:11" ht="42" customHeight="1">
      <c r="A2188" s="4" t="s">
        <v>5484</v>
      </c>
      <c r="B2188" s="5" t="s">
        <v>5485</v>
      </c>
      <c r="C2188" s="5" t="s">
        <v>17</v>
      </c>
      <c r="D2188" s="5" t="s">
        <v>18</v>
      </c>
      <c r="E2188" s="5" t="s">
        <v>421</v>
      </c>
      <c r="F2188" s="9">
        <v>47</v>
      </c>
      <c r="G2188" s="9">
        <v>528</v>
      </c>
      <c r="H2188" s="5" t="s">
        <v>20</v>
      </c>
      <c r="I2188" s="5" t="s">
        <v>5486</v>
      </c>
      <c r="J2188" s="12" t="str">
        <f>HYPERLINK("https://www.boe.es/gazeta/dias/1804/06/12/pdfs/GMD-1804-47.pdf#page=10","Abrir facsímil")</f>
        <v>Abrir facsímil</v>
      </c>
      <c r="K2188" s="15" t="s">
        <v>22</v>
      </c>
    </row>
    <row r="2189" spans="1:11" ht="42" customHeight="1">
      <c r="A2189" s="4" t="s">
        <v>5487</v>
      </c>
      <c r="B2189" s="5" t="s">
        <v>5487</v>
      </c>
      <c r="C2189" s="5" t="s">
        <v>27</v>
      </c>
      <c r="D2189" s="5" t="s">
        <v>28</v>
      </c>
      <c r="E2189" s="5" t="s">
        <v>320</v>
      </c>
      <c r="F2189" s="9">
        <v>31</v>
      </c>
      <c r="G2189" s="9">
        <v>343</v>
      </c>
      <c r="H2189" s="5" t="s">
        <v>20</v>
      </c>
      <c r="I2189" s="5" t="s">
        <v>5488</v>
      </c>
      <c r="J2189" s="12" t="str">
        <f>HYPERLINK("https://www.boe.es/gazeta/dias/1804/04/17/pdfs/GMD-1804-31.pdf#page=9","Abrir facsímil")</f>
        <v>Abrir facsímil</v>
      </c>
      <c r="K2189" s="15" t="s">
        <v>22</v>
      </c>
    </row>
    <row r="2190" spans="1:11" ht="42" customHeight="1">
      <c r="A2190" s="4" t="s">
        <v>5489</v>
      </c>
      <c r="B2190" s="5" t="s">
        <v>5489</v>
      </c>
      <c r="C2190" s="5" t="s">
        <v>27</v>
      </c>
      <c r="D2190" s="5" t="s">
        <v>28</v>
      </c>
      <c r="E2190" s="5" t="s">
        <v>212</v>
      </c>
      <c r="F2190" s="9">
        <v>89</v>
      </c>
      <c r="G2190" s="9">
        <v>990</v>
      </c>
      <c r="H2190" s="5" t="s">
        <v>20</v>
      </c>
      <c r="I2190" s="5" t="s">
        <v>5490</v>
      </c>
      <c r="J2190" s="12" t="str">
        <f>HYPERLINK("https://www.boe.es/gazeta/dias/1804/11/06/pdfs/GMD-1804-89.pdf#page=10","Abrir facsímil")</f>
        <v>Abrir facsímil</v>
      </c>
      <c r="K2190" s="15" t="s">
        <v>22</v>
      </c>
    </row>
    <row r="2191" spans="1:11" ht="42" customHeight="1">
      <c r="A2191" s="4" t="s">
        <v>5491</v>
      </c>
      <c r="B2191" s="5" t="s">
        <v>5492</v>
      </c>
      <c r="C2191" s="5" t="s">
        <v>57</v>
      </c>
      <c r="D2191" s="5" t="s">
        <v>58</v>
      </c>
      <c r="E2191" s="5" t="s">
        <v>132</v>
      </c>
      <c r="F2191" s="9">
        <v>52</v>
      </c>
      <c r="G2191" s="9">
        <v>569</v>
      </c>
      <c r="H2191" s="5" t="s">
        <v>20</v>
      </c>
      <c r="I2191" s="5" t="s">
        <v>5493</v>
      </c>
      <c r="J2191" s="12" t="str">
        <f>HYPERLINK("https://www.boe.es/gazeta/dias/1804/06/29/pdfs/GMD-1804-52.pdf#page=3","Abrir facsímil")</f>
        <v>Abrir facsímil</v>
      </c>
      <c r="K2191" s="15" t="s">
        <v>22</v>
      </c>
    </row>
    <row r="2192" spans="1:11" ht="42" customHeight="1">
      <c r="A2192" s="4" t="s">
        <v>5494</v>
      </c>
      <c r="B2192" s="5" t="s">
        <v>5495</v>
      </c>
      <c r="C2192" s="5" t="s">
        <v>57</v>
      </c>
      <c r="D2192" s="5" t="s">
        <v>58</v>
      </c>
      <c r="E2192" s="5" t="s">
        <v>230</v>
      </c>
      <c r="F2192" s="9">
        <v>26</v>
      </c>
      <c r="G2192" s="9">
        <v>292</v>
      </c>
      <c r="H2192" s="5" t="s">
        <v>20</v>
      </c>
      <c r="I2192" s="5" t="s">
        <v>5496</v>
      </c>
      <c r="J2192" s="12" t="str">
        <f>HYPERLINK("https://www.boe.es/gazeta/dias/1804/03/30/pdfs/GMD-1804-26.pdf#page=6","Abrir facsímil")</f>
        <v>Abrir facsímil</v>
      </c>
      <c r="K2192" s="15" t="s">
        <v>22</v>
      </c>
    </row>
    <row r="2193" spans="1:11" ht="42" customHeight="1">
      <c r="A2193" s="4" t="s">
        <v>5497</v>
      </c>
      <c r="B2193" s="5" t="s">
        <v>5498</v>
      </c>
      <c r="C2193" s="5" t="s">
        <v>57</v>
      </c>
      <c r="D2193" s="5" t="s">
        <v>58</v>
      </c>
      <c r="E2193" s="5" t="s">
        <v>538</v>
      </c>
      <c r="F2193" s="9">
        <v>27</v>
      </c>
      <c r="G2193" s="9">
        <v>299</v>
      </c>
      <c r="H2193" s="5" t="s">
        <v>20</v>
      </c>
      <c r="I2193" s="5" t="s">
        <v>5499</v>
      </c>
      <c r="J2193" s="12" t="str">
        <f>HYPERLINK("https://www.boe.es/gazeta/dias/1804/04/03/pdfs/GMD-1804-27.pdf#page=5","Abrir facsímil")</f>
        <v>Abrir facsímil</v>
      </c>
      <c r="K2193" s="15" t="s">
        <v>22</v>
      </c>
    </row>
    <row r="2194" spans="1:11" ht="42" customHeight="1">
      <c r="A2194" s="4" t="s">
        <v>5500</v>
      </c>
      <c r="B2194" s="5" t="s">
        <v>5500</v>
      </c>
      <c r="C2194" s="5" t="s">
        <v>57</v>
      </c>
      <c r="D2194" s="5" t="s">
        <v>58</v>
      </c>
      <c r="E2194" s="5" t="s">
        <v>206</v>
      </c>
      <c r="F2194" s="9">
        <v>44</v>
      </c>
      <c r="G2194" s="9">
        <v>488</v>
      </c>
      <c r="H2194" s="5" t="s">
        <v>20</v>
      </c>
      <c r="I2194" s="5" t="s">
        <v>5501</v>
      </c>
      <c r="J2194" s="12" t="str">
        <f>HYPERLINK("https://www.boe.es/gazeta/dias/1804/06/01/pdfs/GMD-1804-44.pdf#page=6","Abrir facsímil")</f>
        <v>Abrir facsímil</v>
      </c>
      <c r="K2194" s="15" t="s">
        <v>22</v>
      </c>
    </row>
    <row r="2195" spans="1:11" ht="42" customHeight="1">
      <c r="A2195" s="4" t="s">
        <v>5502</v>
      </c>
      <c r="B2195" s="5" t="s">
        <v>5502</v>
      </c>
      <c r="C2195" s="5" t="s">
        <v>57</v>
      </c>
      <c r="D2195" s="5" t="s">
        <v>58</v>
      </c>
      <c r="E2195" s="5" t="s">
        <v>206</v>
      </c>
      <c r="F2195" s="9">
        <v>44</v>
      </c>
      <c r="G2195" s="9">
        <v>488</v>
      </c>
      <c r="H2195" s="5" t="s">
        <v>20</v>
      </c>
      <c r="I2195" s="5" t="s">
        <v>5501</v>
      </c>
      <c r="J2195" s="12" t="str">
        <f>HYPERLINK("https://www.boe.es/gazeta/dias/1804/06/01/pdfs/GMD-1804-44.pdf#page=6","Abrir facsímil")</f>
        <v>Abrir facsímil</v>
      </c>
      <c r="K2195" s="15" t="s">
        <v>22</v>
      </c>
    </row>
    <row r="2196" spans="1:11" ht="42" customHeight="1">
      <c r="A2196" s="4" t="s">
        <v>5503</v>
      </c>
      <c r="B2196" s="5" t="s">
        <v>5503</v>
      </c>
      <c r="C2196" s="5" t="s">
        <v>57</v>
      </c>
      <c r="D2196" s="5" t="s">
        <v>58</v>
      </c>
      <c r="E2196" s="5" t="s">
        <v>251</v>
      </c>
      <c r="F2196" s="9">
        <v>79</v>
      </c>
      <c r="G2196" s="9">
        <v>875</v>
      </c>
      <c r="H2196" s="5" t="s">
        <v>20</v>
      </c>
      <c r="I2196" s="5" t="s">
        <v>5504</v>
      </c>
      <c r="J2196" s="12" t="str">
        <f>HYPERLINK("https://www.boe.es/gazeta/dias/1804/10/02/pdfs/GMD-1804-79.pdf#page=5","Abrir facsímil")</f>
        <v>Abrir facsímil</v>
      </c>
      <c r="K2196" s="15" t="s">
        <v>22</v>
      </c>
    </row>
    <row r="2197" spans="1:11" ht="42" customHeight="1">
      <c r="A2197" s="4" t="s">
        <v>5503</v>
      </c>
      <c r="B2197" s="5" t="s">
        <v>5503</v>
      </c>
      <c r="C2197" s="5" t="s">
        <v>17</v>
      </c>
      <c r="D2197" s="5" t="s">
        <v>18</v>
      </c>
      <c r="E2197" s="5" t="s">
        <v>71</v>
      </c>
      <c r="F2197" s="9">
        <v>99</v>
      </c>
      <c r="G2197" s="9">
        <v>1101</v>
      </c>
      <c r="H2197" s="5" t="s">
        <v>20</v>
      </c>
      <c r="I2197" s="5" t="s">
        <v>5505</v>
      </c>
      <c r="J2197" s="12" t="str">
        <f>HYPERLINK("https://www.boe.es/gazeta/dias/1804/12/11/pdfs/GMD-1804-99.pdf#page=1","Abrir facsímil")</f>
        <v>Abrir facsímil</v>
      </c>
      <c r="K2197" s="15" t="s">
        <v>22</v>
      </c>
    </row>
    <row r="2198" spans="1:11" ht="42" customHeight="1">
      <c r="A2198" s="4" t="s">
        <v>5506</v>
      </c>
      <c r="B2198" s="5" t="s">
        <v>5506</v>
      </c>
      <c r="C2198" s="5" t="s">
        <v>17</v>
      </c>
      <c r="D2198" s="5" t="s">
        <v>18</v>
      </c>
      <c r="E2198" s="5" t="s">
        <v>421</v>
      </c>
      <c r="F2198" s="9">
        <v>47</v>
      </c>
      <c r="G2198" s="9">
        <v>526</v>
      </c>
      <c r="H2198" s="5" t="s">
        <v>20</v>
      </c>
      <c r="I2198" s="5" t="s">
        <v>5507</v>
      </c>
      <c r="J2198" s="12" t="str">
        <f>HYPERLINK("https://www.boe.es/gazeta/dias/1804/06/12/pdfs/GMD-1804-47.pdf#page=8","Abrir facsímil")</f>
        <v>Abrir facsímil</v>
      </c>
      <c r="K2198" s="15" t="s">
        <v>22</v>
      </c>
    </row>
    <row r="2199" spans="1:11" ht="42" customHeight="1">
      <c r="A2199" s="4" t="s">
        <v>5508</v>
      </c>
      <c r="B2199" s="5" t="s">
        <v>5508</v>
      </c>
      <c r="C2199" s="5" t="s">
        <v>57</v>
      </c>
      <c r="D2199" s="5" t="s">
        <v>58</v>
      </c>
      <c r="E2199" s="5" t="s">
        <v>111</v>
      </c>
      <c r="F2199" s="9">
        <v>40</v>
      </c>
      <c r="G2199" s="9">
        <v>440</v>
      </c>
      <c r="H2199" s="5" t="s">
        <v>20</v>
      </c>
      <c r="I2199" s="5" t="s">
        <v>5509</v>
      </c>
      <c r="J2199" s="12" t="str">
        <f>HYPERLINK("https://www.boe.es/gazeta/dias/1804/05/18/pdfs/GMD-1804-40.pdf#page=2","Abrir facsímil")</f>
        <v>Abrir facsímil</v>
      </c>
      <c r="K2199" s="15" t="s">
        <v>22</v>
      </c>
    </row>
    <row r="2200" spans="1:11" ht="42" customHeight="1">
      <c r="A2200" s="4" t="s">
        <v>5510</v>
      </c>
      <c r="B2200" s="5" t="s">
        <v>5511</v>
      </c>
      <c r="C2200" s="5" t="s">
        <v>27</v>
      </c>
      <c r="D2200" s="5" t="s">
        <v>28</v>
      </c>
      <c r="E2200" s="5" t="s">
        <v>136</v>
      </c>
      <c r="F2200" s="9">
        <v>23</v>
      </c>
      <c r="G2200" s="9">
        <v>261</v>
      </c>
      <c r="H2200" s="5" t="s">
        <v>20</v>
      </c>
      <c r="I2200" s="5" t="s">
        <v>5512</v>
      </c>
      <c r="J2200" s="12" t="str">
        <f>HYPERLINK("https://www.boe.es/gazeta/dias/1804/03/20/pdfs/GMD-1804-23.pdf#page=7","Abrir facsímil")</f>
        <v>Abrir facsímil</v>
      </c>
      <c r="K2200" s="15" t="s">
        <v>22</v>
      </c>
    </row>
    <row r="2201" spans="1:11" ht="42" customHeight="1">
      <c r="A2201" s="4" t="s">
        <v>5513</v>
      </c>
      <c r="B2201" s="5" t="s">
        <v>5513</v>
      </c>
      <c r="C2201" s="5" t="s">
        <v>120</v>
      </c>
      <c r="D2201" s="5" t="s">
        <v>121</v>
      </c>
      <c r="E2201" s="5" t="s">
        <v>33</v>
      </c>
      <c r="F2201" s="9">
        <v>48</v>
      </c>
      <c r="G2201" s="9" t="s">
        <v>122</v>
      </c>
      <c r="H2201" s="5" t="s">
        <v>20</v>
      </c>
      <c r="I2201" s="5" t="s">
        <v>5514</v>
      </c>
      <c r="J2201" s="12" t="str">
        <f>HYPERLINK("https://www.boe.es/gazeta/dias/1804/06/15/pdfs/GMD-C-1804-48.pdf#page=3","Abrir facsímil")</f>
        <v>Abrir facsímil</v>
      </c>
      <c r="K2201" s="15" t="s">
        <v>22</v>
      </c>
    </row>
    <row r="2202" spans="1:11" ht="42" customHeight="1">
      <c r="A2202" s="4" t="s">
        <v>5515</v>
      </c>
      <c r="B2202" s="5" t="s">
        <v>5515</v>
      </c>
      <c r="C2202" s="5" t="s">
        <v>120</v>
      </c>
      <c r="D2202" s="5" t="s">
        <v>121</v>
      </c>
      <c r="E2202" s="5" t="s">
        <v>33</v>
      </c>
      <c r="F2202" s="9">
        <v>48</v>
      </c>
      <c r="G2202" s="9" t="s">
        <v>122</v>
      </c>
      <c r="H2202" s="5" t="s">
        <v>20</v>
      </c>
      <c r="I2202" s="5" t="s">
        <v>5516</v>
      </c>
      <c r="J2202" s="12" t="str">
        <f>HYPERLINK("https://www.boe.es/gazeta/dias/1804/06/15/pdfs/GMD-C-1804-48.pdf#page=3","Abrir facsímil")</f>
        <v>Abrir facsímil</v>
      </c>
      <c r="K2202" s="15" t="s">
        <v>22</v>
      </c>
    </row>
    <row r="2203" spans="1:11" ht="42" customHeight="1">
      <c r="A2203" s="4" t="s">
        <v>5517</v>
      </c>
      <c r="B2203" s="5" t="s">
        <v>5517</v>
      </c>
      <c r="C2203" s="5" t="s">
        <v>27</v>
      </c>
      <c r="D2203" s="5" t="s">
        <v>28</v>
      </c>
      <c r="E2203" s="5" t="s">
        <v>182</v>
      </c>
      <c r="F2203" s="9">
        <v>21</v>
      </c>
      <c r="G2203" s="9">
        <v>236</v>
      </c>
      <c r="H2203" s="5" t="s">
        <v>20</v>
      </c>
      <c r="I2203" s="5" t="s">
        <v>5518</v>
      </c>
      <c r="J2203" s="12" t="str">
        <f>HYPERLINK("https://www.boe.es/gazeta/dias/1804/03/13/pdfs/GMD-1804-21.pdf#page=12","Abrir facsímil")</f>
        <v>Abrir facsímil</v>
      </c>
      <c r="K2203" s="15" t="s">
        <v>22</v>
      </c>
    </row>
    <row r="2204" spans="1:11" ht="42" customHeight="1">
      <c r="A2204" s="4" t="s">
        <v>5519</v>
      </c>
      <c r="B2204" s="5" t="s">
        <v>5519</v>
      </c>
      <c r="C2204" s="5" t="s">
        <v>27</v>
      </c>
      <c r="D2204" s="5" t="s">
        <v>28</v>
      </c>
      <c r="E2204" s="5" t="s">
        <v>111</v>
      </c>
      <c r="F2204" s="9">
        <v>40</v>
      </c>
      <c r="G2204" s="9">
        <v>449</v>
      </c>
      <c r="H2204" s="5" t="s">
        <v>20</v>
      </c>
      <c r="I2204" s="5" t="s">
        <v>5520</v>
      </c>
      <c r="J2204" s="12" t="str">
        <f>HYPERLINK("https://www.boe.es/gazeta/dias/1804/05/18/pdfs/GMD-1804-40.pdf#page=11","Abrir facsímil")</f>
        <v>Abrir facsímil</v>
      </c>
      <c r="K2204" s="15" t="s">
        <v>22</v>
      </c>
    </row>
    <row r="2205" spans="1:11" ht="42" customHeight="1">
      <c r="A2205" s="4" t="s">
        <v>5521</v>
      </c>
      <c r="B2205" s="5" t="s">
        <v>5521</v>
      </c>
      <c r="C2205" s="5" t="s">
        <v>198</v>
      </c>
      <c r="D2205" s="5" t="s">
        <v>66</v>
      </c>
      <c r="E2205" s="5" t="s">
        <v>670</v>
      </c>
      <c r="F2205" s="9">
        <v>41</v>
      </c>
      <c r="G2205" s="9">
        <v>460</v>
      </c>
      <c r="H2205" s="5" t="s">
        <v>20</v>
      </c>
      <c r="I2205" s="5" t="s">
        <v>5522</v>
      </c>
      <c r="J2205" s="12" t="str">
        <f>HYPERLINK("https://www.boe.es/gazeta/dias/1804/05/22/pdfs/GMD-1804-41.pdf#page=10","Abrir facsímil")</f>
        <v>Abrir facsímil</v>
      </c>
      <c r="K2205" s="15" t="s">
        <v>22</v>
      </c>
    </row>
    <row r="2206" spans="1:11" ht="42" customHeight="1">
      <c r="A2206" s="4" t="s">
        <v>5521</v>
      </c>
      <c r="B2206" s="5" t="s">
        <v>5521</v>
      </c>
      <c r="C2206" s="5" t="s">
        <v>198</v>
      </c>
      <c r="D2206" s="5" t="s">
        <v>66</v>
      </c>
      <c r="E2206" s="5" t="s">
        <v>378</v>
      </c>
      <c r="F2206" s="9">
        <v>65</v>
      </c>
      <c r="G2206" s="9">
        <v>733</v>
      </c>
      <c r="H2206" s="5" t="s">
        <v>20</v>
      </c>
      <c r="I2206" s="5" t="s">
        <v>5523</v>
      </c>
      <c r="J2206" s="12" t="str">
        <f>HYPERLINK("https://www.boe.es/gazeta/dias/1804/08/14/pdfs/GMD-1804-65.pdf#page=11","Abrir facsímil")</f>
        <v>Abrir facsímil</v>
      </c>
      <c r="K2206" s="15" t="s">
        <v>22</v>
      </c>
    </row>
    <row r="2207" spans="1:11" ht="42" customHeight="1">
      <c r="A2207" s="4" t="s">
        <v>5524</v>
      </c>
      <c r="B2207" s="5" t="s">
        <v>5524</v>
      </c>
      <c r="C2207" s="5" t="s">
        <v>65</v>
      </c>
      <c r="D2207" s="5" t="s">
        <v>66</v>
      </c>
      <c r="E2207" s="5" t="s">
        <v>147</v>
      </c>
      <c r="F2207" s="9">
        <v>77</v>
      </c>
      <c r="G2207" s="9">
        <v>858</v>
      </c>
      <c r="H2207" s="5" t="s">
        <v>20</v>
      </c>
      <c r="I2207" s="5" t="s">
        <v>5525</v>
      </c>
      <c r="J2207" s="12" t="str">
        <f>HYPERLINK("https://www.boe.es/gazeta/dias/1804/09/25/pdfs/GMD-1804-77.pdf#page=8","Abrir facsímil")</f>
        <v>Abrir facsímil</v>
      </c>
      <c r="K2207" s="15" t="s">
        <v>22</v>
      </c>
    </row>
    <row r="2208" spans="1:11" ht="42" customHeight="1">
      <c r="A2208" s="4" t="s">
        <v>5526</v>
      </c>
      <c r="B2208" s="5" t="s">
        <v>5526</v>
      </c>
      <c r="C2208" s="5" t="s">
        <v>85</v>
      </c>
      <c r="D2208" s="5" t="s">
        <v>86</v>
      </c>
      <c r="E2208" s="5" t="s">
        <v>453</v>
      </c>
      <c r="F2208" s="9">
        <v>33</v>
      </c>
      <c r="G2208" s="9">
        <v>370</v>
      </c>
      <c r="H2208" s="5" t="s">
        <v>20</v>
      </c>
      <c r="I2208" s="5" t="s">
        <v>5527</v>
      </c>
      <c r="J2208" s="12" t="str">
        <f>HYPERLINK("https://www.boe.es/gazeta/dias/1804/04/24/pdfs/GMD-1804-33.pdf#page=12","Abrir facsímil")</f>
        <v>Abrir facsímil</v>
      </c>
      <c r="K2208" s="15" t="s">
        <v>22</v>
      </c>
    </row>
    <row r="2209" spans="1:11" ht="42" customHeight="1">
      <c r="A2209" s="4" t="s">
        <v>5528</v>
      </c>
      <c r="B2209" s="5" t="s">
        <v>5528</v>
      </c>
      <c r="C2209" s="5" t="s">
        <v>85</v>
      </c>
      <c r="D2209" s="5" t="s">
        <v>86</v>
      </c>
      <c r="E2209" s="5" t="s">
        <v>91</v>
      </c>
      <c r="F2209" s="9">
        <v>72</v>
      </c>
      <c r="G2209" s="9">
        <v>810</v>
      </c>
      <c r="H2209" s="5" t="s">
        <v>20</v>
      </c>
      <c r="I2209" s="5" t="s">
        <v>5529</v>
      </c>
      <c r="J2209" s="12" t="str">
        <f>HYPERLINK("https://www.boe.es/gazeta/dias/1804/09/07/pdfs/GMD-1804-72.pdf#page=12","Abrir facsímil")</f>
        <v>Abrir facsímil</v>
      </c>
      <c r="K2209" s="15" t="s">
        <v>22</v>
      </c>
    </row>
    <row r="2210" spans="1:11" ht="42" customHeight="1">
      <c r="A2210" s="4" t="s">
        <v>5530</v>
      </c>
      <c r="B2210" s="5" t="s">
        <v>5530</v>
      </c>
      <c r="C2210" s="5" t="s">
        <v>27</v>
      </c>
      <c r="D2210" s="5" t="s">
        <v>28</v>
      </c>
      <c r="E2210" s="5" t="s">
        <v>1095</v>
      </c>
      <c r="F2210" s="9">
        <v>73</v>
      </c>
      <c r="G2210" s="9">
        <v>818</v>
      </c>
      <c r="H2210" s="5" t="s">
        <v>20</v>
      </c>
      <c r="I2210" s="5" t="s">
        <v>5531</v>
      </c>
      <c r="J2210" s="12" t="str">
        <f>HYPERLINK("https://www.boe.es/gazeta/dias/1804/09/11/pdfs/GMD-1804-73.pdf#page=8","Abrir facsímil")</f>
        <v>Abrir facsímil</v>
      </c>
      <c r="K2210" s="15" t="s">
        <v>22</v>
      </c>
    </row>
    <row r="2211" spans="1:11" ht="42" customHeight="1">
      <c r="A2211" s="4" t="s">
        <v>5532</v>
      </c>
      <c r="B2211" s="5" t="s">
        <v>5533</v>
      </c>
      <c r="C2211" s="5" t="s">
        <v>27</v>
      </c>
      <c r="D2211" s="5" t="s">
        <v>28</v>
      </c>
      <c r="E2211" s="5" t="s">
        <v>360</v>
      </c>
      <c r="F2211" s="9">
        <v>81</v>
      </c>
      <c r="G2211" s="9">
        <v>897</v>
      </c>
      <c r="H2211" s="5" t="s">
        <v>20</v>
      </c>
      <c r="I2211" s="5" t="s">
        <v>5534</v>
      </c>
      <c r="J2211" s="12" t="str">
        <f>HYPERLINK("https://www.boe.es/gazeta/dias/1804/10/09/pdfs/GMD-1804-81.pdf#page=7","Abrir facsímil")</f>
        <v>Abrir facsímil</v>
      </c>
      <c r="K2211" s="15" t="s">
        <v>22</v>
      </c>
    </row>
    <row r="2212" spans="1:11" ht="42" customHeight="1">
      <c r="A2212" s="4" t="s">
        <v>5535</v>
      </c>
      <c r="B2212" s="5" t="s">
        <v>5536</v>
      </c>
      <c r="C2212" s="5" t="s">
        <v>85</v>
      </c>
      <c r="D2212" s="5" t="s">
        <v>86</v>
      </c>
      <c r="E2212" s="5" t="s">
        <v>91</v>
      </c>
      <c r="F2212" s="9">
        <v>72</v>
      </c>
      <c r="G2212" s="9">
        <v>809</v>
      </c>
      <c r="H2212" s="5" t="s">
        <v>20</v>
      </c>
      <c r="I2212" s="5" t="s">
        <v>5537</v>
      </c>
      <c r="J2212" s="12" t="str">
        <f>HYPERLINK("https://www.boe.es/gazeta/dias/1804/09/07/pdfs/GMD-1804-72.pdf#page=11","Abrir facsímil")</f>
        <v>Abrir facsímil</v>
      </c>
      <c r="K2212" s="15" t="s">
        <v>22</v>
      </c>
    </row>
    <row r="2213" spans="1:11" ht="42" customHeight="1">
      <c r="A2213" s="4" t="s">
        <v>5538</v>
      </c>
      <c r="B2213" s="5" t="s">
        <v>5539</v>
      </c>
      <c r="C2213" s="5" t="s">
        <v>120</v>
      </c>
      <c r="D2213" s="5" t="s">
        <v>121</v>
      </c>
      <c r="E2213" s="5" t="s">
        <v>33</v>
      </c>
      <c r="F2213" s="9">
        <v>48</v>
      </c>
      <c r="G2213" s="9" t="s">
        <v>122</v>
      </c>
      <c r="H2213" s="5" t="s">
        <v>20</v>
      </c>
      <c r="I2213" s="5" t="s">
        <v>5540</v>
      </c>
      <c r="J2213" s="12" t="str">
        <f>HYPERLINK("https://www.boe.es/gazeta/dias/1804/06/15/pdfs/GMD-C-1804-48.pdf#page=3","Abrir facsímil")</f>
        <v>Abrir facsímil</v>
      </c>
      <c r="K2213" s="15" t="s">
        <v>22</v>
      </c>
    </row>
    <row r="2214" spans="1:11" ht="42" customHeight="1">
      <c r="A2214" s="4" t="s">
        <v>5541</v>
      </c>
      <c r="B2214" s="5" t="s">
        <v>5542</v>
      </c>
      <c r="C2214" s="5" t="s">
        <v>27</v>
      </c>
      <c r="D2214" s="5" t="s">
        <v>28</v>
      </c>
      <c r="E2214" s="5" t="s">
        <v>576</v>
      </c>
      <c r="F2214" s="9">
        <v>85</v>
      </c>
      <c r="G2214" s="9">
        <v>939</v>
      </c>
      <c r="H2214" s="5" t="s">
        <v>20</v>
      </c>
      <c r="I2214" s="5" t="s">
        <v>5543</v>
      </c>
      <c r="J2214" s="12" t="str">
        <f>HYPERLINK("https://www.boe.es/gazeta/dias/1804/10/23/pdfs/GMD-1804-85.pdf#page=9","Abrir facsímil")</f>
        <v>Abrir facsímil</v>
      </c>
      <c r="K2214" s="15" t="s">
        <v>22</v>
      </c>
    </row>
    <row r="2215" spans="1:11" ht="42" customHeight="1">
      <c r="A2215" s="4" t="s">
        <v>5544</v>
      </c>
      <c r="B2215" s="5" t="s">
        <v>5545</v>
      </c>
      <c r="C2215" s="5" t="s">
        <v>17</v>
      </c>
      <c r="D2215" s="5" t="s">
        <v>18</v>
      </c>
      <c r="E2215" s="5" t="s">
        <v>159</v>
      </c>
      <c r="F2215" s="9">
        <v>15</v>
      </c>
      <c r="G2215" s="9">
        <v>163</v>
      </c>
      <c r="H2215" s="5" t="s">
        <v>20</v>
      </c>
      <c r="I2215" s="5" t="s">
        <v>5546</v>
      </c>
      <c r="J2215" s="12" t="str">
        <f>HYPERLINK("https://www.boe.es/gazeta/dias/1804/02/21/pdfs/GMD-1804-15.pdf#page=7","Abrir facsímil")</f>
        <v>Abrir facsímil</v>
      </c>
      <c r="K2215" s="15" t="s">
        <v>22</v>
      </c>
    </row>
    <row r="2216" spans="1:11" ht="42" customHeight="1">
      <c r="A2216" s="4" t="s">
        <v>5547</v>
      </c>
      <c r="B2216" s="5" t="s">
        <v>5548</v>
      </c>
      <c r="C2216" s="5" t="s">
        <v>27</v>
      </c>
      <c r="D2216" s="5" t="s">
        <v>28</v>
      </c>
      <c r="E2216" s="5" t="s">
        <v>308</v>
      </c>
      <c r="F2216" s="9">
        <v>96</v>
      </c>
      <c r="G2216" s="9">
        <v>1068</v>
      </c>
      <c r="H2216" s="5" t="s">
        <v>20</v>
      </c>
      <c r="I2216" s="5" t="s">
        <v>5549</v>
      </c>
      <c r="J2216" s="12" t="str">
        <f>HYPERLINK("https://www.boe.es/gazeta/dias/1804/11/30/pdfs/GMD-1804-96.pdf#page=8","Abrir facsímil")</f>
        <v>Abrir facsímil</v>
      </c>
      <c r="K2216" s="15" t="s">
        <v>22</v>
      </c>
    </row>
    <row r="2217" spans="1:11" ht="42" customHeight="1">
      <c r="A2217" s="4" t="s">
        <v>5550</v>
      </c>
      <c r="B2217" s="5" t="s">
        <v>5551</v>
      </c>
      <c r="C2217" s="5" t="s">
        <v>17</v>
      </c>
      <c r="D2217" s="5" t="s">
        <v>18</v>
      </c>
      <c r="E2217" s="5" t="s">
        <v>350</v>
      </c>
      <c r="F2217" s="9">
        <v>19</v>
      </c>
      <c r="G2217" s="9">
        <v>209</v>
      </c>
      <c r="H2217" s="5" t="s">
        <v>20</v>
      </c>
      <c r="I2217" s="5" t="s">
        <v>5552</v>
      </c>
      <c r="J2217" s="12" t="str">
        <f>HYPERLINK("https://www.boe.es/gazeta/dias/1804/03/06/pdfs/GMD-1804-19.pdf#page=9","Abrir facsímil")</f>
        <v>Abrir facsímil</v>
      </c>
      <c r="K2217" s="15" t="s">
        <v>22</v>
      </c>
    </row>
    <row r="2218" spans="1:11" ht="42" customHeight="1">
      <c r="A2218" s="4" t="s">
        <v>5550</v>
      </c>
      <c r="B2218" s="5" t="s">
        <v>5551</v>
      </c>
      <c r="C2218" s="5" t="s">
        <v>198</v>
      </c>
      <c r="D2218" s="5" t="s">
        <v>66</v>
      </c>
      <c r="E2218" s="5" t="s">
        <v>637</v>
      </c>
      <c r="F2218" s="9">
        <v>74</v>
      </c>
      <c r="G2218" s="9">
        <v>832</v>
      </c>
      <c r="H2218" s="5" t="s">
        <v>20</v>
      </c>
      <c r="I2218" s="5" t="s">
        <v>5553</v>
      </c>
      <c r="J2218" s="12" t="str">
        <f>HYPERLINK("https://www.boe.es/gazeta/dias/1804/09/14/pdfs/GMD-1804-74.pdf#page=10","Abrir facsímil")</f>
        <v>Abrir facsímil</v>
      </c>
      <c r="K2218" s="15" t="s">
        <v>22</v>
      </c>
    </row>
    <row r="2219" spans="1:11" ht="42" customHeight="1">
      <c r="A2219" s="4" t="s">
        <v>5554</v>
      </c>
      <c r="B2219" s="5" t="s">
        <v>5555</v>
      </c>
      <c r="C2219" s="5" t="s">
        <v>262</v>
      </c>
      <c r="D2219" s="5" t="s">
        <v>263</v>
      </c>
      <c r="E2219" s="5" t="s">
        <v>398</v>
      </c>
      <c r="F2219" s="9">
        <v>22</v>
      </c>
      <c r="G2219" s="9">
        <v>250</v>
      </c>
      <c r="H2219" s="5" t="s">
        <v>20</v>
      </c>
      <c r="I2219" s="5" t="s">
        <v>5556</v>
      </c>
      <c r="J2219" s="12" t="str">
        <f>HYPERLINK("https://www.boe.es/gazeta/dias/1804/03/16/pdfs/GMD-C-1804-22.pdf#page=2","Abrir facsímil")</f>
        <v>Abrir facsímil</v>
      </c>
      <c r="K2219" s="15" t="s">
        <v>22</v>
      </c>
    </row>
    <row r="2220" spans="1:11" ht="42" customHeight="1">
      <c r="A2220" s="4" t="s">
        <v>5554</v>
      </c>
      <c r="B2220" s="5" t="s">
        <v>5555</v>
      </c>
      <c r="C2220" s="5" t="s">
        <v>262</v>
      </c>
      <c r="D2220" s="5" t="s">
        <v>263</v>
      </c>
      <c r="E2220" s="5" t="s">
        <v>666</v>
      </c>
      <c r="F2220" s="9">
        <v>57</v>
      </c>
      <c r="G2220" s="9">
        <v>636</v>
      </c>
      <c r="H2220" s="5" t="s">
        <v>20</v>
      </c>
      <c r="I2220" s="5" t="s">
        <v>5557</v>
      </c>
      <c r="J2220" s="12" t="str">
        <f>HYPERLINK("https://www.boe.es/gazeta/dias/1804/07/17/pdfs/GMD-C-1804-57.pdf#page=2","Abrir facsímil")</f>
        <v>Abrir facsímil</v>
      </c>
      <c r="K2220" s="15" t="s">
        <v>22</v>
      </c>
    </row>
    <row r="2221" spans="1:11" ht="42" customHeight="1">
      <c r="A2221" s="4" t="s">
        <v>5558</v>
      </c>
      <c r="B2221" s="5" t="s">
        <v>5559</v>
      </c>
      <c r="C2221" s="5" t="s">
        <v>198</v>
      </c>
      <c r="D2221" s="5" t="s">
        <v>66</v>
      </c>
      <c r="E2221" s="5" t="s">
        <v>77</v>
      </c>
      <c r="F2221" s="9">
        <v>32</v>
      </c>
      <c r="G2221" s="9">
        <v>358</v>
      </c>
      <c r="H2221" s="5" t="s">
        <v>20</v>
      </c>
      <c r="I2221" s="5" t="s">
        <v>5560</v>
      </c>
      <c r="J2221" s="12" t="str">
        <f>HYPERLINK("https://www.boe.es/gazeta/dias/1804/04/20/pdfs/GMD-1804-32.pdf#page=12","Abrir facsímil")</f>
        <v>Abrir facsímil</v>
      </c>
      <c r="K2221" s="15" t="s">
        <v>22</v>
      </c>
    </row>
    <row r="2222" spans="1:11" ht="42" customHeight="1">
      <c r="A2222" s="4" t="s">
        <v>5558</v>
      </c>
      <c r="B2222" s="5" t="s">
        <v>5559</v>
      </c>
      <c r="C2222" s="5" t="s">
        <v>198</v>
      </c>
      <c r="D2222" s="5" t="s">
        <v>66</v>
      </c>
      <c r="E2222" s="5" t="s">
        <v>704</v>
      </c>
      <c r="F2222" s="9">
        <v>36</v>
      </c>
      <c r="G2222" s="9">
        <v>401</v>
      </c>
      <c r="H2222" s="5" t="s">
        <v>20</v>
      </c>
      <c r="I2222" s="5" t="s">
        <v>5561</v>
      </c>
      <c r="J2222" s="12" t="str">
        <f>HYPERLINK("https://www.boe.es/gazeta/dias/1804/05/04/pdfs/GMD-1804-36.pdf#page=11","Abrir facsímil")</f>
        <v>Abrir facsímil</v>
      </c>
      <c r="K2222" s="15" t="s">
        <v>22</v>
      </c>
    </row>
    <row r="2223" spans="1:11" ht="42" customHeight="1">
      <c r="A2223" s="4" t="s">
        <v>5558</v>
      </c>
      <c r="B2223" s="5" t="s">
        <v>5559</v>
      </c>
      <c r="C2223" s="5" t="s">
        <v>17</v>
      </c>
      <c r="D2223" s="5" t="s">
        <v>18</v>
      </c>
      <c r="E2223" s="5" t="s">
        <v>111</v>
      </c>
      <c r="F2223" s="9">
        <v>40</v>
      </c>
      <c r="G2223" s="9">
        <v>449</v>
      </c>
      <c r="H2223" s="5" t="s">
        <v>20</v>
      </c>
      <c r="I2223" s="5" t="s">
        <v>5562</v>
      </c>
      <c r="J2223" s="12" t="str">
        <f>HYPERLINK("https://www.boe.es/gazeta/dias/1804/05/18/pdfs/GMD-1804-40.pdf#page=11","Abrir facsímil")</f>
        <v>Abrir facsímil</v>
      </c>
      <c r="K2223" s="15" t="s">
        <v>22</v>
      </c>
    </row>
    <row r="2224" spans="1:11" ht="42" customHeight="1">
      <c r="A2224" s="4" t="s">
        <v>5558</v>
      </c>
      <c r="B2224" s="5" t="s">
        <v>5559</v>
      </c>
      <c r="C2224" s="5" t="s">
        <v>27</v>
      </c>
      <c r="D2224" s="5" t="s">
        <v>28</v>
      </c>
      <c r="E2224" s="5" t="s">
        <v>1179</v>
      </c>
      <c r="F2224" s="9">
        <v>43</v>
      </c>
      <c r="G2224" s="9">
        <v>480</v>
      </c>
      <c r="H2224" s="5" t="s">
        <v>20</v>
      </c>
      <c r="I2224" s="5" t="s">
        <v>5563</v>
      </c>
      <c r="J2224" s="12" t="str">
        <f>HYPERLINK("https://www.boe.es/gazeta/dias/1804/05/29/pdfs/GMD-1804-43.pdf#page=6","Abrir facsímil")</f>
        <v>Abrir facsímil</v>
      </c>
      <c r="K2224" s="15" t="s">
        <v>22</v>
      </c>
    </row>
    <row r="2225" spans="1:11" ht="42" customHeight="1">
      <c r="A2225" s="4" t="s">
        <v>5558</v>
      </c>
      <c r="B2225" s="5" t="s">
        <v>5559</v>
      </c>
      <c r="C2225" s="5" t="s">
        <v>198</v>
      </c>
      <c r="D2225" s="5" t="s">
        <v>66</v>
      </c>
      <c r="E2225" s="5" t="s">
        <v>206</v>
      </c>
      <c r="F2225" s="9">
        <v>44</v>
      </c>
      <c r="G2225" s="9">
        <v>489</v>
      </c>
      <c r="H2225" s="5" t="s">
        <v>20</v>
      </c>
      <c r="I2225" s="5" t="s">
        <v>5564</v>
      </c>
      <c r="J2225" s="12" t="str">
        <f>HYPERLINK("https://www.boe.es/gazeta/dias/1804/06/01/pdfs/GMD-1804-44.pdf#page=7","Abrir facsímil")</f>
        <v>Abrir facsímil</v>
      </c>
      <c r="K2225" s="15" t="s">
        <v>22</v>
      </c>
    </row>
    <row r="2226" spans="1:11" ht="42" customHeight="1">
      <c r="A2226" s="4" t="s">
        <v>5558</v>
      </c>
      <c r="B2226" s="5" t="s">
        <v>5559</v>
      </c>
      <c r="C2226" s="5" t="s">
        <v>198</v>
      </c>
      <c r="D2226" s="5" t="s">
        <v>66</v>
      </c>
      <c r="E2226" s="5" t="s">
        <v>421</v>
      </c>
      <c r="F2226" s="9">
        <v>47</v>
      </c>
      <c r="G2226" s="9">
        <v>529</v>
      </c>
      <c r="H2226" s="5" t="s">
        <v>20</v>
      </c>
      <c r="I2226" s="5" t="s">
        <v>5565</v>
      </c>
      <c r="J2226" s="12" t="str">
        <f>HYPERLINK("https://www.boe.es/gazeta/dias/1804/06/12/pdfs/GMD-1804-47.pdf#page=11","Abrir facsímil")</f>
        <v>Abrir facsímil</v>
      </c>
      <c r="K2226" s="15" t="s">
        <v>22</v>
      </c>
    </row>
    <row r="2227" spans="1:11" ht="42" customHeight="1">
      <c r="A2227" s="4" t="s">
        <v>5558</v>
      </c>
      <c r="B2227" s="5" t="s">
        <v>5559</v>
      </c>
      <c r="C2227" s="5" t="s">
        <v>198</v>
      </c>
      <c r="D2227" s="5" t="s">
        <v>66</v>
      </c>
      <c r="E2227" s="5" t="s">
        <v>33</v>
      </c>
      <c r="F2227" s="9">
        <v>48</v>
      </c>
      <c r="G2227" s="9">
        <v>538</v>
      </c>
      <c r="H2227" s="5" t="s">
        <v>20</v>
      </c>
      <c r="I2227" s="5" t="s">
        <v>5566</v>
      </c>
      <c r="J2227" s="12" t="str">
        <f>HYPERLINK("https://www.boe.es/gazeta/dias/1804/06/15/pdfs/GMD-1804-48.pdf#page=8","Abrir facsímil")</f>
        <v>Abrir facsímil</v>
      </c>
      <c r="K2227" s="15" t="s">
        <v>22</v>
      </c>
    </row>
    <row r="2228" spans="1:11" ht="42" customHeight="1">
      <c r="A2228" s="4" t="s">
        <v>5558</v>
      </c>
      <c r="B2228" s="5" t="s">
        <v>5559</v>
      </c>
      <c r="C2228" s="5" t="s">
        <v>198</v>
      </c>
      <c r="D2228" s="5" t="s">
        <v>66</v>
      </c>
      <c r="E2228" s="5" t="s">
        <v>484</v>
      </c>
      <c r="F2228" s="9">
        <v>53</v>
      </c>
      <c r="G2228" s="9">
        <v>592</v>
      </c>
      <c r="H2228" s="5" t="s">
        <v>20</v>
      </c>
      <c r="I2228" s="5" t="s">
        <v>5567</v>
      </c>
      <c r="J2228" s="12" t="str">
        <f>HYPERLINK("https://www.boe.es/gazeta/dias/1804/07/03/pdfs/GMD-1804-53.pdf#page=10","Abrir facsímil")</f>
        <v>Abrir facsímil</v>
      </c>
      <c r="K2228" s="15" t="s">
        <v>22</v>
      </c>
    </row>
    <row r="2229" spans="1:11" ht="42" customHeight="1">
      <c r="A2229" s="4" t="s">
        <v>5558</v>
      </c>
      <c r="B2229" s="5" t="s">
        <v>5559</v>
      </c>
      <c r="C2229" s="5" t="s">
        <v>198</v>
      </c>
      <c r="D2229" s="5" t="s">
        <v>66</v>
      </c>
      <c r="E2229" s="5" t="s">
        <v>59</v>
      </c>
      <c r="F2229" s="9">
        <v>55</v>
      </c>
      <c r="G2229" s="9">
        <v>613</v>
      </c>
      <c r="H2229" s="5" t="s">
        <v>20</v>
      </c>
      <c r="I2229" s="5" t="s">
        <v>5568</v>
      </c>
      <c r="J2229" s="12" t="str">
        <f>HYPERLINK("https://www.boe.es/gazeta/dias/1804/07/10/pdfs/GMD-1804-55.pdf#page=11","Abrir facsímil")</f>
        <v>Abrir facsímil</v>
      </c>
      <c r="K2229" s="15" t="s">
        <v>22</v>
      </c>
    </row>
    <row r="2230" spans="1:11" ht="42" customHeight="1">
      <c r="A2230" s="4" t="s">
        <v>5558</v>
      </c>
      <c r="B2230" s="5" t="s">
        <v>5559</v>
      </c>
      <c r="C2230" s="5" t="s">
        <v>198</v>
      </c>
      <c r="D2230" s="5" t="s">
        <v>66</v>
      </c>
      <c r="E2230" s="5" t="s">
        <v>175</v>
      </c>
      <c r="F2230" s="9">
        <v>58</v>
      </c>
      <c r="G2230" s="9">
        <v>645</v>
      </c>
      <c r="H2230" s="5" t="s">
        <v>20</v>
      </c>
      <c r="I2230" s="5" t="s">
        <v>5569</v>
      </c>
      <c r="J2230" s="12" t="str">
        <f>HYPERLINK("https://www.boe.es/gazeta/dias/1804/07/20/pdfs/GMD-1804-58.pdf#page=11","Abrir facsímil")</f>
        <v>Abrir facsímil</v>
      </c>
      <c r="K2230" s="15" t="s">
        <v>22</v>
      </c>
    </row>
    <row r="2231" spans="1:11" ht="42" customHeight="1">
      <c r="A2231" s="4" t="s">
        <v>5558</v>
      </c>
      <c r="B2231" s="5" t="s">
        <v>5559</v>
      </c>
      <c r="C2231" s="5" t="s">
        <v>85</v>
      </c>
      <c r="D2231" s="5" t="s">
        <v>86</v>
      </c>
      <c r="E2231" s="5" t="s">
        <v>587</v>
      </c>
      <c r="F2231" s="9">
        <v>62</v>
      </c>
      <c r="G2231" s="9">
        <v>689</v>
      </c>
      <c r="H2231" s="5" t="s">
        <v>20</v>
      </c>
      <c r="I2231" s="5" t="s">
        <v>5570</v>
      </c>
      <c r="J2231" s="12" t="str">
        <f>HYPERLINK("https://www.boe.es/gazeta/dias/1804/08/03/pdfs/GMD-1804-62.pdf#page=11","Abrir facsímil")</f>
        <v>Abrir facsímil</v>
      </c>
      <c r="K2231" s="15" t="s">
        <v>22</v>
      </c>
    </row>
    <row r="2232" spans="1:11" ht="42" customHeight="1">
      <c r="A2232" s="4" t="s">
        <v>5558</v>
      </c>
      <c r="B2232" s="5" t="s">
        <v>5559</v>
      </c>
      <c r="C2232" s="5" t="s">
        <v>85</v>
      </c>
      <c r="D2232" s="5" t="s">
        <v>86</v>
      </c>
      <c r="E2232" s="5" t="s">
        <v>367</v>
      </c>
      <c r="F2232" s="9">
        <v>64</v>
      </c>
      <c r="G2232" s="9">
        <v>717</v>
      </c>
      <c r="H2232" s="5" t="s">
        <v>20</v>
      </c>
      <c r="I2232" s="5" t="s">
        <v>5571</v>
      </c>
      <c r="J2232" s="12" t="str">
        <f>HYPERLINK("https://www.boe.es/gazeta/dias/1804/08/10/pdfs/GMD-1804-64.pdf#page=11","Abrir facsímil")</f>
        <v>Abrir facsímil</v>
      </c>
      <c r="K2232" s="15" t="s">
        <v>22</v>
      </c>
    </row>
    <row r="2233" spans="1:11" ht="42" customHeight="1">
      <c r="A2233" s="4" t="s">
        <v>5558</v>
      </c>
      <c r="B2233" s="5" t="s">
        <v>5559</v>
      </c>
      <c r="C2233" s="5" t="s">
        <v>198</v>
      </c>
      <c r="D2233" s="5" t="s">
        <v>66</v>
      </c>
      <c r="E2233" s="5" t="s">
        <v>332</v>
      </c>
      <c r="F2233" s="9">
        <v>66</v>
      </c>
      <c r="G2233" s="9">
        <v>741</v>
      </c>
      <c r="H2233" s="5" t="s">
        <v>20</v>
      </c>
      <c r="I2233" s="5" t="s">
        <v>5572</v>
      </c>
      <c r="J2233" s="12" t="str">
        <f>HYPERLINK("https://www.boe.es/gazeta/dias/1804/08/17/pdfs/GMD-1804-66.pdf#page=7","Abrir facsímil")</f>
        <v>Abrir facsímil</v>
      </c>
      <c r="K2233" s="15" t="s">
        <v>22</v>
      </c>
    </row>
    <row r="2234" spans="1:11" ht="42" customHeight="1">
      <c r="A2234" s="4" t="s">
        <v>5558</v>
      </c>
      <c r="B2234" s="5" t="s">
        <v>5559</v>
      </c>
      <c r="C2234" s="5" t="s">
        <v>198</v>
      </c>
      <c r="D2234" s="5" t="s">
        <v>66</v>
      </c>
      <c r="E2234" s="5" t="s">
        <v>216</v>
      </c>
      <c r="F2234" s="9">
        <v>67</v>
      </c>
      <c r="G2234" s="9">
        <v>752</v>
      </c>
      <c r="H2234" s="5" t="s">
        <v>20</v>
      </c>
      <c r="I2234" s="5" t="s">
        <v>5573</v>
      </c>
      <c r="J2234" s="12" t="str">
        <f>HYPERLINK("https://www.boe.es/gazeta/dias/1804/08/21/pdfs/GMD-1804-67.pdf#page=10","Abrir facsímil")</f>
        <v>Abrir facsímil</v>
      </c>
      <c r="K2234" s="15" t="s">
        <v>22</v>
      </c>
    </row>
    <row r="2235" spans="1:11" ht="42" customHeight="1">
      <c r="A2235" s="4" t="s">
        <v>5558</v>
      </c>
      <c r="B2235" s="5" t="s">
        <v>5559</v>
      </c>
      <c r="C2235" s="5" t="s">
        <v>198</v>
      </c>
      <c r="D2235" s="5" t="s">
        <v>66</v>
      </c>
      <c r="E2235" s="5" t="s">
        <v>216</v>
      </c>
      <c r="F2235" s="9">
        <v>67</v>
      </c>
      <c r="G2235" s="9">
        <v>753</v>
      </c>
      <c r="H2235" s="5" t="s">
        <v>20</v>
      </c>
      <c r="I2235" s="5" t="s">
        <v>5574</v>
      </c>
      <c r="J2235" s="12" t="str">
        <f>HYPERLINK("https://www.boe.es/gazeta/dias/1804/08/21/pdfs/GMD-1804-67.pdf#page=11","Abrir facsímil")</f>
        <v>Abrir facsímil</v>
      </c>
      <c r="K2235" s="15" t="s">
        <v>22</v>
      </c>
    </row>
    <row r="2236" spans="1:11" ht="42" customHeight="1">
      <c r="A2236" s="4" t="s">
        <v>5558</v>
      </c>
      <c r="B2236" s="5" t="s">
        <v>5559</v>
      </c>
      <c r="C2236" s="5" t="s">
        <v>198</v>
      </c>
      <c r="D2236" s="5" t="s">
        <v>66</v>
      </c>
      <c r="E2236" s="5" t="s">
        <v>163</v>
      </c>
      <c r="F2236" s="9">
        <v>70</v>
      </c>
      <c r="G2236" s="9">
        <v>785</v>
      </c>
      <c r="H2236" s="5" t="s">
        <v>20</v>
      </c>
      <c r="I2236" s="5" t="s">
        <v>5575</v>
      </c>
      <c r="J2236" s="12" t="str">
        <f>HYPERLINK("https://www.boe.es/gazeta/dias/1804/08/31/pdfs/GMD-1804-70.pdf#page=7","Abrir facsímil")</f>
        <v>Abrir facsímil</v>
      </c>
      <c r="K2236" s="15" t="s">
        <v>22</v>
      </c>
    </row>
    <row r="2237" spans="1:11" ht="42" customHeight="1">
      <c r="A2237" s="4" t="s">
        <v>5558</v>
      </c>
      <c r="B2237" s="5" t="s">
        <v>5559</v>
      </c>
      <c r="C2237" s="5" t="s">
        <v>27</v>
      </c>
      <c r="D2237" s="5" t="s">
        <v>28</v>
      </c>
      <c r="E2237" s="5" t="s">
        <v>637</v>
      </c>
      <c r="F2237" s="9">
        <v>74</v>
      </c>
      <c r="G2237" s="9">
        <v>832</v>
      </c>
      <c r="H2237" s="5" t="s">
        <v>20</v>
      </c>
      <c r="I2237" s="5" t="s">
        <v>5576</v>
      </c>
      <c r="J2237" s="12" t="str">
        <f>HYPERLINK("https://www.boe.es/gazeta/dias/1804/09/14/pdfs/GMD-1804-74.pdf#page=10","Abrir facsímil")</f>
        <v>Abrir facsímil</v>
      </c>
      <c r="K2237" s="15" t="s">
        <v>22</v>
      </c>
    </row>
    <row r="2238" spans="1:11" ht="42" customHeight="1">
      <c r="A2238" s="4" t="s">
        <v>5558</v>
      </c>
      <c r="B2238" s="5" t="s">
        <v>5559</v>
      </c>
      <c r="C2238" s="5" t="s">
        <v>27</v>
      </c>
      <c r="D2238" s="5" t="s">
        <v>28</v>
      </c>
      <c r="E2238" s="5" t="s">
        <v>466</v>
      </c>
      <c r="F2238" s="9">
        <v>76</v>
      </c>
      <c r="G2238" s="9">
        <v>849</v>
      </c>
      <c r="H2238" s="5" t="s">
        <v>20</v>
      </c>
      <c r="I2238" s="5" t="s">
        <v>5577</v>
      </c>
      <c r="J2238" s="12" t="str">
        <f>HYPERLINK("https://www.boe.es/gazeta/dias/1804/09/21/pdfs/GMD-1804-76.pdf#page=7","Abrir facsímil")</f>
        <v>Abrir facsímil</v>
      </c>
      <c r="K2238" s="15" t="s">
        <v>22</v>
      </c>
    </row>
    <row r="2239" spans="1:11" ht="42" customHeight="1">
      <c r="A2239" s="4" t="s">
        <v>5558</v>
      </c>
      <c r="B2239" s="5" t="s">
        <v>5559</v>
      </c>
      <c r="C2239" s="5" t="s">
        <v>198</v>
      </c>
      <c r="D2239" s="5" t="s">
        <v>66</v>
      </c>
      <c r="E2239" s="5" t="s">
        <v>427</v>
      </c>
      <c r="F2239" s="9">
        <v>80</v>
      </c>
      <c r="G2239" s="9">
        <v>889</v>
      </c>
      <c r="H2239" s="5" t="s">
        <v>20</v>
      </c>
      <c r="I2239" s="5" t="s">
        <v>5578</v>
      </c>
      <c r="J2239" s="12" t="str">
        <f>HYPERLINK("https://www.boe.es/gazeta/dias/1804/10/05/pdfs/GMD-1804-80.pdf#page=7","Abrir facsímil")</f>
        <v>Abrir facsímil</v>
      </c>
      <c r="K2239" s="15" t="s">
        <v>22</v>
      </c>
    </row>
    <row r="2240" spans="1:11" ht="42" customHeight="1">
      <c r="A2240" s="4" t="s">
        <v>5558</v>
      </c>
      <c r="B2240" s="5" t="s">
        <v>5559</v>
      </c>
      <c r="C2240" s="5" t="s">
        <v>198</v>
      </c>
      <c r="D2240" s="5" t="s">
        <v>66</v>
      </c>
      <c r="E2240" s="5" t="s">
        <v>736</v>
      </c>
      <c r="F2240" s="9">
        <v>83</v>
      </c>
      <c r="G2240" s="9">
        <v>920</v>
      </c>
      <c r="H2240" s="5" t="s">
        <v>20</v>
      </c>
      <c r="I2240" s="5" t="s">
        <v>5579</v>
      </c>
      <c r="J2240" s="12" t="str">
        <f>HYPERLINK("https://www.boe.es/gazeta/dias/1804/10/16/pdfs/GMD-1804-83.pdf#page=10","Abrir facsímil")</f>
        <v>Abrir facsímil</v>
      </c>
      <c r="K2240" s="15" t="s">
        <v>22</v>
      </c>
    </row>
    <row r="2241" spans="1:11" ht="42" customHeight="1">
      <c r="A2241" s="4" t="s">
        <v>5558</v>
      </c>
      <c r="B2241" s="5" t="s">
        <v>5559</v>
      </c>
      <c r="C2241" s="5" t="s">
        <v>198</v>
      </c>
      <c r="D2241" s="5" t="s">
        <v>66</v>
      </c>
      <c r="E2241" s="5" t="s">
        <v>43</v>
      </c>
      <c r="F2241" s="9">
        <v>84</v>
      </c>
      <c r="G2241" s="9">
        <v>929</v>
      </c>
      <c r="H2241" s="5" t="s">
        <v>20</v>
      </c>
      <c r="I2241" s="5" t="s">
        <v>5580</v>
      </c>
      <c r="J2241" s="12" t="str">
        <f>HYPERLINK("https://www.boe.es/gazeta/dias/1804/10/19/pdfs/GMD-1804-84.pdf#page=7","Abrir facsímil")</f>
        <v>Abrir facsímil</v>
      </c>
      <c r="K2241" s="15" t="s">
        <v>22</v>
      </c>
    </row>
    <row r="2242" spans="1:11" ht="42" customHeight="1">
      <c r="A2242" s="4" t="s">
        <v>5558</v>
      </c>
      <c r="B2242" s="5" t="s">
        <v>5559</v>
      </c>
      <c r="C2242" s="5" t="s">
        <v>198</v>
      </c>
      <c r="D2242" s="5" t="s">
        <v>66</v>
      </c>
      <c r="E2242" s="5" t="s">
        <v>234</v>
      </c>
      <c r="F2242" s="9">
        <v>86</v>
      </c>
      <c r="G2242" s="9">
        <v>949</v>
      </c>
      <c r="H2242" s="5" t="s">
        <v>20</v>
      </c>
      <c r="I2242" s="5" t="s">
        <v>5581</v>
      </c>
      <c r="J2242" s="12" t="str">
        <f>HYPERLINK("https://www.boe.es/gazeta/dias/1804/10/26/pdfs/GMD-1804-86.pdf#page=7","Abrir facsímil")</f>
        <v>Abrir facsímil</v>
      </c>
      <c r="K2242" s="15" t="s">
        <v>22</v>
      </c>
    </row>
    <row r="2243" spans="1:11" ht="42" customHeight="1">
      <c r="A2243" s="4" t="s">
        <v>5558</v>
      </c>
      <c r="B2243" s="5" t="s">
        <v>5559</v>
      </c>
      <c r="C2243" s="5" t="s">
        <v>17</v>
      </c>
      <c r="D2243" s="5" t="s">
        <v>18</v>
      </c>
      <c r="E2243" s="5" t="s">
        <v>143</v>
      </c>
      <c r="F2243" s="9">
        <v>87</v>
      </c>
      <c r="G2243" s="9">
        <v>967</v>
      </c>
      <c r="H2243" s="5" t="s">
        <v>20</v>
      </c>
      <c r="I2243" s="5" t="s">
        <v>5582</v>
      </c>
      <c r="J2243" s="12" t="str">
        <f>HYPERLINK("https://www.boe.es/gazeta/dias/1804/10/30/pdfs/GMD-1804-87.pdf#page=11","Abrir facsímil")</f>
        <v>Abrir facsímil</v>
      </c>
      <c r="K2243" s="15" t="s">
        <v>22</v>
      </c>
    </row>
    <row r="2244" spans="1:11" ht="42" customHeight="1">
      <c r="A2244" s="4" t="s">
        <v>5583</v>
      </c>
      <c r="B2244" s="5" t="s">
        <v>5583</v>
      </c>
      <c r="C2244" s="5" t="s">
        <v>120</v>
      </c>
      <c r="D2244" s="5" t="s">
        <v>121</v>
      </c>
      <c r="E2244" s="5" t="s">
        <v>33</v>
      </c>
      <c r="F2244" s="9">
        <v>48</v>
      </c>
      <c r="G2244" s="9" t="s">
        <v>122</v>
      </c>
      <c r="H2244" s="5" t="s">
        <v>20</v>
      </c>
      <c r="I2244" s="5" t="s">
        <v>5584</v>
      </c>
      <c r="J2244" s="12" t="str">
        <f>HYPERLINK("https://www.boe.es/gazeta/dias/1804/06/15/pdfs/GMD-C-1804-48.pdf#page=3","Abrir facsímil")</f>
        <v>Abrir facsímil</v>
      </c>
      <c r="K2244" s="15" t="s">
        <v>22</v>
      </c>
    </row>
    <row r="2245" spans="1:11" ht="42" customHeight="1">
      <c r="A2245" s="4" t="s">
        <v>5585</v>
      </c>
      <c r="B2245" s="5" t="s">
        <v>5585</v>
      </c>
      <c r="C2245" s="5" t="s">
        <v>27</v>
      </c>
      <c r="D2245" s="5" t="s">
        <v>28</v>
      </c>
      <c r="E2245" s="5" t="s">
        <v>91</v>
      </c>
      <c r="F2245" s="9">
        <v>72</v>
      </c>
      <c r="G2245" s="9">
        <v>806</v>
      </c>
      <c r="H2245" s="5" t="s">
        <v>20</v>
      </c>
      <c r="I2245" s="5" t="s">
        <v>5586</v>
      </c>
      <c r="J2245" s="12" t="str">
        <f>HYPERLINK("https://www.boe.es/gazeta/dias/1804/09/07/pdfs/GMD-1804-72.pdf#page=8","Abrir facsímil")</f>
        <v>Abrir facsímil</v>
      </c>
      <c r="K2245" s="15" t="s">
        <v>22</v>
      </c>
    </row>
    <row r="2246" spans="1:11" ht="42" customHeight="1">
      <c r="A2246" s="4" t="s">
        <v>5587</v>
      </c>
      <c r="B2246" s="5" t="s">
        <v>5588</v>
      </c>
      <c r="C2246" s="5" t="s">
        <v>27</v>
      </c>
      <c r="D2246" s="5" t="s">
        <v>28</v>
      </c>
      <c r="E2246" s="5" t="s">
        <v>37</v>
      </c>
      <c r="F2246" s="9">
        <v>29</v>
      </c>
      <c r="G2246" s="9">
        <v>319</v>
      </c>
      <c r="H2246" s="5" t="s">
        <v>20</v>
      </c>
      <c r="I2246" s="5" t="s">
        <v>5589</v>
      </c>
      <c r="J2246" s="12" t="str">
        <f>HYPERLINK("https://www.boe.es/gazeta/dias/1804/04/10/pdfs/GMD-1804-29.pdf#page=9","Abrir facsímil")</f>
        <v>Abrir facsímil</v>
      </c>
      <c r="K2246" s="15" t="s">
        <v>22</v>
      </c>
    </row>
    <row r="2247" spans="1:11" ht="42" customHeight="1">
      <c r="A2247" s="4" t="s">
        <v>5590</v>
      </c>
      <c r="B2247" s="5" t="s">
        <v>5590</v>
      </c>
      <c r="C2247" s="5" t="s">
        <v>27</v>
      </c>
      <c r="D2247" s="5" t="s">
        <v>28</v>
      </c>
      <c r="E2247" s="5" t="s">
        <v>794</v>
      </c>
      <c r="F2247" s="9">
        <v>42</v>
      </c>
      <c r="G2247" s="9">
        <v>473</v>
      </c>
      <c r="H2247" s="5" t="s">
        <v>20</v>
      </c>
      <c r="I2247" s="5" t="s">
        <v>5591</v>
      </c>
      <c r="J2247" s="12" t="str">
        <f>HYPERLINK("https://www.boe.es/gazeta/dias/1804/05/25/pdfs/GMD-1804-42.pdf#page=11","Abrir facsímil")</f>
        <v>Abrir facsímil</v>
      </c>
      <c r="K2247" s="15" t="s">
        <v>22</v>
      </c>
    </row>
    <row r="2248" spans="1:11" ht="42" customHeight="1">
      <c r="A2248" s="4" t="s">
        <v>5592</v>
      </c>
      <c r="B2248" s="5" t="s">
        <v>5593</v>
      </c>
      <c r="C2248" s="5" t="s">
        <v>17</v>
      </c>
      <c r="D2248" s="5" t="s">
        <v>18</v>
      </c>
      <c r="E2248" s="5" t="s">
        <v>360</v>
      </c>
      <c r="F2248" s="9">
        <v>81</v>
      </c>
      <c r="G2248" s="9">
        <v>898</v>
      </c>
      <c r="H2248" s="5" t="s">
        <v>20</v>
      </c>
      <c r="I2248" s="5" t="s">
        <v>5594</v>
      </c>
      <c r="J2248" s="12" t="str">
        <f>HYPERLINK("https://www.boe.es/gazeta/dias/1804/10/09/pdfs/GMD-1804-81.pdf#page=8","Abrir facsímil")</f>
        <v>Abrir facsímil</v>
      </c>
      <c r="K2248" s="15" t="s">
        <v>22</v>
      </c>
    </row>
    <row r="2249" spans="1:11" ht="42" customHeight="1">
      <c r="A2249" s="4" t="s">
        <v>5595</v>
      </c>
      <c r="B2249" s="5" t="s">
        <v>5596</v>
      </c>
      <c r="C2249" s="5" t="s">
        <v>120</v>
      </c>
      <c r="D2249" s="5" t="s">
        <v>121</v>
      </c>
      <c r="E2249" s="5" t="s">
        <v>33</v>
      </c>
      <c r="F2249" s="9">
        <v>48</v>
      </c>
      <c r="G2249" s="9" t="s">
        <v>285</v>
      </c>
      <c r="H2249" s="5" t="s">
        <v>20</v>
      </c>
      <c r="I2249" s="5" t="s">
        <v>5597</v>
      </c>
      <c r="J2249" s="12" t="str">
        <f>HYPERLINK("https://www.boe.es/gazeta/dias/1804/06/15/pdfs/GMD-C-1804-48.pdf#page=2","Abrir facsímil")</f>
        <v>Abrir facsímil</v>
      </c>
      <c r="K2249" s="15" t="s">
        <v>22</v>
      </c>
    </row>
    <row r="2250" spans="1:11" ht="42" customHeight="1">
      <c r="A2250" s="4" t="s">
        <v>5598</v>
      </c>
      <c r="B2250" s="5" t="s">
        <v>5599</v>
      </c>
      <c r="C2250" s="5" t="s">
        <v>27</v>
      </c>
      <c r="D2250" s="5" t="s">
        <v>28</v>
      </c>
      <c r="E2250" s="5" t="s">
        <v>526</v>
      </c>
      <c r="F2250" s="9">
        <v>95</v>
      </c>
      <c r="G2250" s="9">
        <v>1055</v>
      </c>
      <c r="H2250" s="5" t="s">
        <v>20</v>
      </c>
      <c r="I2250" s="5" t="s">
        <v>5600</v>
      </c>
      <c r="J2250" s="12" t="str">
        <f>HYPERLINK("https://www.boe.es/gazeta/dias/1804/11/27/pdfs/GMD-1804-95.pdf#page=7","Abrir facsímil")</f>
        <v>Abrir facsímil</v>
      </c>
      <c r="K2250" s="15" t="s">
        <v>22</v>
      </c>
    </row>
    <row r="2251" spans="1:11" ht="42" customHeight="1">
      <c r="A2251" s="4" t="s">
        <v>5601</v>
      </c>
      <c r="B2251" s="5" t="s">
        <v>5602</v>
      </c>
      <c r="C2251" s="5" t="s">
        <v>120</v>
      </c>
      <c r="D2251" s="5" t="s">
        <v>121</v>
      </c>
      <c r="E2251" s="5" t="s">
        <v>33</v>
      </c>
      <c r="F2251" s="9">
        <v>48</v>
      </c>
      <c r="G2251" s="9" t="s">
        <v>285</v>
      </c>
      <c r="H2251" s="5" t="s">
        <v>20</v>
      </c>
      <c r="I2251" s="5" t="s">
        <v>5603</v>
      </c>
      <c r="J2251" s="12" t="str">
        <f>HYPERLINK("https://www.boe.es/gazeta/dias/1804/06/15/pdfs/GMD-C-1804-48.pdf#page=2","Abrir facsímil")</f>
        <v>Abrir facsímil</v>
      </c>
      <c r="K2251" s="15" t="s">
        <v>22</v>
      </c>
    </row>
    <row r="2252" spans="1:11" ht="42" customHeight="1">
      <c r="A2252" s="4" t="s">
        <v>5604</v>
      </c>
      <c r="B2252" s="5" t="s">
        <v>5605</v>
      </c>
      <c r="C2252" s="5" t="s">
        <v>17</v>
      </c>
      <c r="D2252" s="5" t="s">
        <v>18</v>
      </c>
      <c r="E2252" s="5" t="s">
        <v>54</v>
      </c>
      <c r="F2252" s="9">
        <v>63</v>
      </c>
      <c r="G2252" s="9">
        <v>699</v>
      </c>
      <c r="H2252" s="5" t="s">
        <v>20</v>
      </c>
      <c r="I2252" s="5" t="s">
        <v>5606</v>
      </c>
      <c r="J2252" s="12" t="str">
        <f>HYPERLINK("https://www.boe.es/gazeta/dias/1804/08/07/pdfs/GMD-1804-63.pdf#page=9","Abrir facsímil")</f>
        <v>Abrir facsímil</v>
      </c>
      <c r="K2252" s="15" t="s">
        <v>22</v>
      </c>
    </row>
    <row r="2253" spans="1:11" ht="42" customHeight="1">
      <c r="A2253" s="4" t="s">
        <v>5607</v>
      </c>
      <c r="B2253" s="5" t="s">
        <v>5608</v>
      </c>
      <c r="C2253" s="5" t="s">
        <v>198</v>
      </c>
      <c r="D2253" s="5" t="s">
        <v>66</v>
      </c>
      <c r="E2253" s="5" t="s">
        <v>251</v>
      </c>
      <c r="F2253" s="9">
        <v>79</v>
      </c>
      <c r="G2253" s="9">
        <v>877</v>
      </c>
      <c r="H2253" s="5" t="s">
        <v>20</v>
      </c>
      <c r="I2253" s="5" t="s">
        <v>5609</v>
      </c>
      <c r="J2253" s="12" t="str">
        <f>HYPERLINK("https://www.boe.es/gazeta/dias/1804/10/02/pdfs/GMD-1804-79.pdf#page=7","Abrir facsímil")</f>
        <v>Abrir facsímil</v>
      </c>
      <c r="K2253" s="15" t="s">
        <v>22</v>
      </c>
    </row>
    <row r="2254" spans="1:11" ht="42" customHeight="1">
      <c r="A2254" s="4" t="s">
        <v>5610</v>
      </c>
      <c r="B2254" s="5" t="s">
        <v>5610</v>
      </c>
      <c r="C2254" s="5" t="s">
        <v>198</v>
      </c>
      <c r="D2254" s="5" t="s">
        <v>66</v>
      </c>
      <c r="E2254" s="5" t="s">
        <v>678</v>
      </c>
      <c r="F2254" s="9">
        <v>104</v>
      </c>
      <c r="G2254" s="9">
        <v>1163</v>
      </c>
      <c r="H2254" s="5" t="s">
        <v>20</v>
      </c>
      <c r="I2254" s="5" t="s">
        <v>5611</v>
      </c>
      <c r="J2254" s="12" t="str">
        <f>HYPERLINK("https://www.boe.es/gazeta/dias/1804/12/28/pdfs/GMD-1804-104.pdf#page=11","Abrir facsímil")</f>
        <v>Abrir facsímil</v>
      </c>
      <c r="K2254" s="15" t="s">
        <v>22</v>
      </c>
    </row>
    <row r="2255" spans="1:11" ht="42" customHeight="1">
      <c r="A2255" s="4" t="s">
        <v>5612</v>
      </c>
      <c r="B2255" s="5" t="s">
        <v>5613</v>
      </c>
      <c r="C2255" s="5" t="s">
        <v>27</v>
      </c>
      <c r="D2255" s="5" t="s">
        <v>28</v>
      </c>
      <c r="E2255" s="5" t="s">
        <v>670</v>
      </c>
      <c r="F2255" s="9">
        <v>41</v>
      </c>
      <c r="G2255" s="9">
        <v>458</v>
      </c>
      <c r="H2255" s="5" t="s">
        <v>20</v>
      </c>
      <c r="I2255" s="5" t="s">
        <v>5614</v>
      </c>
      <c r="J2255" s="12" t="str">
        <f>HYPERLINK("https://www.boe.es/gazeta/dias/1804/05/22/pdfs/GMD-1804-41.pdf#page=8","Abrir facsímil")</f>
        <v>Abrir facsímil</v>
      </c>
      <c r="K2255" s="15" t="s">
        <v>22</v>
      </c>
    </row>
    <row r="2256" spans="1:11" ht="42" customHeight="1">
      <c r="A2256" s="4" t="s">
        <v>5615</v>
      </c>
      <c r="B2256" s="5" t="s">
        <v>5616</v>
      </c>
      <c r="C2256" s="5" t="s">
        <v>17</v>
      </c>
      <c r="D2256" s="5" t="s">
        <v>18</v>
      </c>
      <c r="E2256" s="5" t="s">
        <v>302</v>
      </c>
      <c r="F2256" s="9">
        <v>3</v>
      </c>
      <c r="G2256" s="9">
        <v>27</v>
      </c>
      <c r="H2256" s="5" t="s">
        <v>20</v>
      </c>
      <c r="I2256" s="5" t="s">
        <v>5617</v>
      </c>
      <c r="J2256" s="12" t="str">
        <f>HYPERLINK("https://www.boe.es/gazeta/dias/1804/01/10/pdfs/GMD-1804-3.pdf#page=7","Abrir facsímil")</f>
        <v>Abrir facsímil</v>
      </c>
      <c r="K2256" s="15" t="s">
        <v>22</v>
      </c>
    </row>
    <row r="2257" spans="1:11" ht="42" customHeight="1">
      <c r="A2257" s="4" t="s">
        <v>5618</v>
      </c>
      <c r="B2257" s="5" t="s">
        <v>5619</v>
      </c>
      <c r="C2257" s="5" t="s">
        <v>17</v>
      </c>
      <c r="D2257" s="5" t="s">
        <v>18</v>
      </c>
      <c r="E2257" s="5" t="s">
        <v>360</v>
      </c>
      <c r="F2257" s="9">
        <v>81</v>
      </c>
      <c r="G2257" s="9">
        <v>898</v>
      </c>
      <c r="H2257" s="5" t="s">
        <v>20</v>
      </c>
      <c r="I2257" s="5" t="s">
        <v>5620</v>
      </c>
      <c r="J2257" s="12" t="str">
        <f>HYPERLINK("https://www.boe.es/gazeta/dias/1804/10/09/pdfs/GMD-1804-81.pdf#page=8","Abrir facsímil")</f>
        <v>Abrir facsímil</v>
      </c>
      <c r="K2257" s="15" t="s">
        <v>22</v>
      </c>
    </row>
    <row r="2258" spans="1:11" ht="42" customHeight="1">
      <c r="A2258" s="4" t="s">
        <v>5621</v>
      </c>
      <c r="B2258" s="5" t="s">
        <v>5622</v>
      </c>
      <c r="C2258" s="5" t="s">
        <v>27</v>
      </c>
      <c r="D2258" s="5" t="s">
        <v>28</v>
      </c>
      <c r="E2258" s="5" t="s">
        <v>47</v>
      </c>
      <c r="F2258" s="9">
        <v>78</v>
      </c>
      <c r="G2258" s="9">
        <v>867</v>
      </c>
      <c r="H2258" s="5" t="s">
        <v>20</v>
      </c>
      <c r="I2258" s="5" t="s">
        <v>5623</v>
      </c>
      <c r="J2258" s="12" t="str">
        <f>HYPERLINK("https://www.boe.es/gazeta/dias/1804/09/28/pdfs/GMD-1804-78.pdf#page=5","Abrir facsímil")</f>
        <v>Abrir facsímil</v>
      </c>
      <c r="K2258" s="15" t="s">
        <v>22</v>
      </c>
    </row>
    <row r="2259" spans="1:11" ht="42" customHeight="1">
      <c r="A2259" s="4" t="s">
        <v>5624</v>
      </c>
      <c r="B2259" s="5" t="s">
        <v>5625</v>
      </c>
      <c r="C2259" s="5" t="s">
        <v>57</v>
      </c>
      <c r="D2259" s="5" t="s">
        <v>58</v>
      </c>
      <c r="E2259" s="5" t="s">
        <v>623</v>
      </c>
      <c r="F2259" s="9">
        <v>51</v>
      </c>
      <c r="G2259" s="9">
        <v>558</v>
      </c>
      <c r="H2259" s="5" t="s">
        <v>20</v>
      </c>
      <c r="I2259" s="5" t="s">
        <v>5626</v>
      </c>
      <c r="J2259" s="12" t="str">
        <f>HYPERLINK("https://www.boe.es/gazeta/dias/1804/06/26/pdfs/GMD-1804-51.pdf#page=4","Abrir facsímil")</f>
        <v>Abrir facsímil</v>
      </c>
      <c r="K2259" s="15" t="s">
        <v>22</v>
      </c>
    </row>
    <row r="2260" spans="1:11" ht="42" customHeight="1">
      <c r="A2260" s="4" t="s">
        <v>5627</v>
      </c>
      <c r="B2260" s="5" t="s">
        <v>5628</v>
      </c>
      <c r="C2260" s="5" t="s">
        <v>120</v>
      </c>
      <c r="D2260" s="5" t="s">
        <v>121</v>
      </c>
      <c r="E2260" s="5" t="s">
        <v>33</v>
      </c>
      <c r="F2260" s="9">
        <v>48</v>
      </c>
      <c r="G2260" s="9" t="s">
        <v>98</v>
      </c>
      <c r="H2260" s="5" t="s">
        <v>20</v>
      </c>
      <c r="I2260" s="5" t="s">
        <v>5629</v>
      </c>
      <c r="J2260" s="12" t="str">
        <f>HYPERLINK("https://www.boe.es/gazeta/dias/1804/06/15/pdfs/GMD-C-1804-48.pdf#page=1","Abrir facsímil")</f>
        <v>Abrir facsímil</v>
      </c>
      <c r="K2260" s="15" t="s">
        <v>22</v>
      </c>
    </row>
    <row r="2261" spans="1:11" ht="42" customHeight="1">
      <c r="A2261" s="4" t="s">
        <v>5630</v>
      </c>
      <c r="B2261" s="5" t="s">
        <v>5631</v>
      </c>
      <c r="C2261" s="5" t="s">
        <v>57</v>
      </c>
      <c r="D2261" s="5" t="s">
        <v>58</v>
      </c>
      <c r="E2261" s="5" t="s">
        <v>178</v>
      </c>
      <c r="F2261" s="9">
        <v>20</v>
      </c>
      <c r="G2261" s="9">
        <v>213</v>
      </c>
      <c r="H2261" s="5" t="s">
        <v>20</v>
      </c>
      <c r="I2261" s="5" t="s">
        <v>5632</v>
      </c>
      <c r="J2261" s="12" t="str">
        <f>HYPERLINK("https://www.boe.es/gazeta/dias/1804/03/09/pdfs/GMD-1804-20.pdf#page=1","Abrir facsímil")</f>
        <v>Abrir facsímil</v>
      </c>
      <c r="K2261" s="15" t="s">
        <v>22</v>
      </c>
    </row>
    <row r="2262" spans="1:11" ht="42" customHeight="1">
      <c r="A2262" s="4" t="s">
        <v>5633</v>
      </c>
      <c r="B2262" s="5" t="s">
        <v>5634</v>
      </c>
      <c r="C2262" s="5" t="s">
        <v>27</v>
      </c>
      <c r="D2262" s="5" t="s">
        <v>28</v>
      </c>
      <c r="E2262" s="5" t="s">
        <v>666</v>
      </c>
      <c r="F2262" s="9">
        <v>57</v>
      </c>
      <c r="G2262" s="9">
        <v>626</v>
      </c>
      <c r="H2262" s="5" t="s">
        <v>20</v>
      </c>
      <c r="I2262" s="5" t="s">
        <v>5635</v>
      </c>
      <c r="J2262" s="12" t="str">
        <f>HYPERLINK("https://www.boe.es/gazeta/dias/1804/07/17/pdfs/GMD-1804-57.pdf#page=4","Abrir facsímil")</f>
        <v>Abrir facsímil</v>
      </c>
      <c r="K2262" s="15" t="s">
        <v>22</v>
      </c>
    </row>
    <row r="2263" spans="1:11" ht="42" customHeight="1">
      <c r="A2263" s="4" t="s">
        <v>5636</v>
      </c>
      <c r="B2263" s="5" t="s">
        <v>5636</v>
      </c>
      <c r="C2263" s="5" t="s">
        <v>57</v>
      </c>
      <c r="D2263" s="5" t="s">
        <v>58</v>
      </c>
      <c r="E2263" s="5" t="s">
        <v>109</v>
      </c>
      <c r="F2263" s="9">
        <v>35</v>
      </c>
      <c r="G2263" s="9">
        <v>381</v>
      </c>
      <c r="H2263" s="5" t="s">
        <v>20</v>
      </c>
      <c r="I2263" s="5" t="s">
        <v>5637</v>
      </c>
      <c r="J2263" s="12" t="str">
        <f>HYPERLINK("https://www.boe.es/gazeta/dias/1804/05/01/pdfs/GMD-1804-35.pdf#page=3","Abrir facsímil")</f>
        <v>Abrir facsímil</v>
      </c>
      <c r="K2263" s="15" t="s">
        <v>22</v>
      </c>
    </row>
    <row r="2264" spans="1:11" ht="42" customHeight="1">
      <c r="A2264" s="4" t="s">
        <v>5638</v>
      </c>
      <c r="B2264" s="5" t="s">
        <v>5638</v>
      </c>
      <c r="C2264" s="5" t="s">
        <v>57</v>
      </c>
      <c r="D2264" s="5" t="s">
        <v>58</v>
      </c>
      <c r="E2264" s="5" t="s">
        <v>378</v>
      </c>
      <c r="F2264" s="9">
        <v>65</v>
      </c>
      <c r="G2264" s="9">
        <v>725</v>
      </c>
      <c r="H2264" s="5" t="s">
        <v>20</v>
      </c>
      <c r="I2264" s="5" t="s">
        <v>5639</v>
      </c>
      <c r="J2264" s="12" t="str">
        <f>HYPERLINK("https://www.boe.es/gazeta/dias/1804/08/14/pdfs/GMD-1804-65.pdf#page=3","Abrir facsímil")</f>
        <v>Abrir facsímil</v>
      </c>
      <c r="K2264" s="15" t="s">
        <v>22</v>
      </c>
    </row>
    <row r="2265" spans="1:11" ht="42" customHeight="1">
      <c r="A2265" s="4" t="s">
        <v>5640</v>
      </c>
      <c r="B2265" s="5" t="s">
        <v>5640</v>
      </c>
      <c r="C2265" s="5" t="s">
        <v>27</v>
      </c>
      <c r="D2265" s="5" t="s">
        <v>28</v>
      </c>
      <c r="E2265" s="5" t="s">
        <v>466</v>
      </c>
      <c r="F2265" s="9">
        <v>76</v>
      </c>
      <c r="G2265" s="9">
        <v>844</v>
      </c>
      <c r="H2265" s="5" t="s">
        <v>20</v>
      </c>
      <c r="I2265" s="5" t="s">
        <v>5641</v>
      </c>
      <c r="J2265" s="12" t="str">
        <f>HYPERLINK("https://www.boe.es/gazeta/dias/1804/09/21/pdfs/GMD-1804-76.pdf#page=2","Abrir facsímil")</f>
        <v>Abrir facsímil</v>
      </c>
      <c r="K2265" s="15" t="s">
        <v>22</v>
      </c>
    </row>
    <row r="2266" spans="1:11" ht="42" customHeight="1">
      <c r="A2266" s="4" t="s">
        <v>5642</v>
      </c>
      <c r="B2266" s="5" t="s">
        <v>5642</v>
      </c>
      <c r="C2266" s="5" t="s">
        <v>27</v>
      </c>
      <c r="D2266" s="5" t="s">
        <v>28</v>
      </c>
      <c r="E2266" s="5" t="s">
        <v>398</v>
      </c>
      <c r="F2266" s="9">
        <v>22</v>
      </c>
      <c r="G2266" s="9">
        <v>245</v>
      </c>
      <c r="H2266" s="5" t="s">
        <v>20</v>
      </c>
      <c r="I2266" s="5" t="s">
        <v>5643</v>
      </c>
      <c r="J2266" s="12" t="str">
        <f>HYPERLINK("https://www.boe.es/gazeta/dias/1804/03/16/pdfs/GMD-1804-22.pdf#page=9","Abrir facsímil")</f>
        <v>Abrir facsímil</v>
      </c>
      <c r="K2266" s="15" t="s">
        <v>22</v>
      </c>
    </row>
    <row r="2267" spans="1:11" ht="42" customHeight="1">
      <c r="A2267" s="4" t="s">
        <v>5644</v>
      </c>
      <c r="B2267" s="5" t="s">
        <v>5644</v>
      </c>
      <c r="C2267" s="5" t="s">
        <v>57</v>
      </c>
      <c r="D2267" s="5" t="s">
        <v>58</v>
      </c>
      <c r="E2267" s="5" t="s">
        <v>199</v>
      </c>
      <c r="F2267" s="9">
        <v>46</v>
      </c>
      <c r="G2267" s="9">
        <v>503</v>
      </c>
      <c r="H2267" s="5" t="s">
        <v>20</v>
      </c>
      <c r="I2267" s="5" t="s">
        <v>5645</v>
      </c>
      <c r="J2267" s="12" t="str">
        <f>HYPERLINK("https://www.boe.es/gazeta/dias/1804/06/08/pdfs/GMD-1804-46.pdf#page=1","Abrir facsímil")</f>
        <v>Abrir facsímil</v>
      </c>
      <c r="K2267" s="15" t="s">
        <v>22</v>
      </c>
    </row>
    <row r="2268" spans="1:11" ht="42" customHeight="1">
      <c r="A2268" s="4" t="s">
        <v>5646</v>
      </c>
      <c r="B2268" s="5" t="s">
        <v>5646</v>
      </c>
      <c r="C2268" s="5" t="s">
        <v>17</v>
      </c>
      <c r="D2268" s="5" t="s">
        <v>18</v>
      </c>
      <c r="E2268" s="5" t="s">
        <v>950</v>
      </c>
      <c r="F2268" s="9">
        <v>90</v>
      </c>
      <c r="G2268" s="9">
        <v>995</v>
      </c>
      <c r="H2268" s="5" t="s">
        <v>20</v>
      </c>
      <c r="I2268" s="5" t="s">
        <v>5647</v>
      </c>
      <c r="J2268" s="12" t="str">
        <f>HYPERLINK("https://www.boe.es/gazeta/dias/1804/11/09/pdfs/GMD-1804-90.pdf#page=3","Abrir facsímil")</f>
        <v>Abrir facsímil</v>
      </c>
      <c r="K2268" s="15" t="s">
        <v>22</v>
      </c>
    </row>
    <row r="2269" spans="1:11" ht="42" customHeight="1">
      <c r="A2269" s="4" t="s">
        <v>5648</v>
      </c>
      <c r="B2269" s="5" t="s">
        <v>5648</v>
      </c>
      <c r="C2269" s="5" t="s">
        <v>57</v>
      </c>
      <c r="D2269" s="5" t="s">
        <v>58</v>
      </c>
      <c r="E2269" s="5" t="s">
        <v>140</v>
      </c>
      <c r="F2269" s="9">
        <v>39</v>
      </c>
      <c r="G2269" s="9">
        <v>431</v>
      </c>
      <c r="H2269" s="5" t="s">
        <v>20</v>
      </c>
      <c r="I2269" s="5" t="s">
        <v>5649</v>
      </c>
      <c r="J2269" s="12" t="str">
        <f>HYPERLINK("https://www.boe.es/gazeta/dias/1804/05/15/pdfs/GMD-1804-39.pdf#page=5","Abrir facsímil")</f>
        <v>Abrir facsímil</v>
      </c>
      <c r="K2269" s="15" t="s">
        <v>22</v>
      </c>
    </row>
    <row r="2270" spans="1:11" ht="42" customHeight="1">
      <c r="A2270" s="4" t="s">
        <v>5650</v>
      </c>
      <c r="B2270" s="5" t="s">
        <v>5650</v>
      </c>
      <c r="C2270" s="5" t="s">
        <v>57</v>
      </c>
      <c r="D2270" s="5" t="s">
        <v>58</v>
      </c>
      <c r="E2270" s="5" t="s">
        <v>302</v>
      </c>
      <c r="F2270" s="9">
        <v>3</v>
      </c>
      <c r="G2270" s="9">
        <v>24</v>
      </c>
      <c r="H2270" s="5" t="s">
        <v>20</v>
      </c>
      <c r="I2270" s="5" t="s">
        <v>5651</v>
      </c>
      <c r="J2270" s="12" t="str">
        <f>HYPERLINK("https://www.boe.es/gazeta/dias/1804/01/10/pdfs/GMD-1804-3.pdf#page=4","Abrir facsímil")</f>
        <v>Abrir facsímil</v>
      </c>
      <c r="K2270" s="15" t="s">
        <v>22</v>
      </c>
    </row>
    <row r="2271" spans="1:11" ht="42" customHeight="1">
      <c r="A2271" s="4" t="s">
        <v>5652</v>
      </c>
      <c r="B2271" s="5" t="s">
        <v>5652</v>
      </c>
      <c r="C2271" s="5" t="s">
        <v>57</v>
      </c>
      <c r="D2271" s="5" t="s">
        <v>58</v>
      </c>
      <c r="E2271" s="5" t="s">
        <v>302</v>
      </c>
      <c r="F2271" s="9">
        <v>3</v>
      </c>
      <c r="G2271" s="9">
        <v>24</v>
      </c>
      <c r="H2271" s="5" t="s">
        <v>20</v>
      </c>
      <c r="I2271" s="5" t="s">
        <v>5653</v>
      </c>
      <c r="J2271" s="12" t="str">
        <f>HYPERLINK("https://www.boe.es/gazeta/dias/1804/01/10/pdfs/GMD-1804-3.pdf#page=4","Abrir facsímil")</f>
        <v>Abrir facsímil</v>
      </c>
      <c r="K2271" s="15" t="s">
        <v>22</v>
      </c>
    </row>
    <row r="2272" spans="1:11" ht="42" customHeight="1">
      <c r="A2272" s="4" t="s">
        <v>5654</v>
      </c>
      <c r="B2272" s="5" t="s">
        <v>5654</v>
      </c>
      <c r="C2272" s="5" t="s">
        <v>17</v>
      </c>
      <c r="D2272" s="5" t="s">
        <v>18</v>
      </c>
      <c r="E2272" s="5" t="s">
        <v>637</v>
      </c>
      <c r="F2272" s="9">
        <v>74</v>
      </c>
      <c r="G2272" s="9">
        <v>829</v>
      </c>
      <c r="H2272" s="5" t="s">
        <v>20</v>
      </c>
      <c r="I2272" s="5" t="s">
        <v>5655</v>
      </c>
      <c r="J2272" s="12" t="str">
        <f>HYPERLINK("https://www.boe.es/gazeta/dias/1804/09/14/pdfs/GMD-1804-74.pdf#page=7","Abrir facsímil")</f>
        <v>Abrir facsímil</v>
      </c>
      <c r="K2272" s="15" t="s">
        <v>22</v>
      </c>
    </row>
    <row r="2273" spans="1:11" ht="42" customHeight="1">
      <c r="A2273" s="4" t="s">
        <v>5656</v>
      </c>
      <c r="B2273" s="5" t="s">
        <v>5656</v>
      </c>
      <c r="C2273" s="5" t="s">
        <v>17</v>
      </c>
      <c r="D2273" s="5" t="s">
        <v>18</v>
      </c>
      <c r="E2273" s="5" t="s">
        <v>637</v>
      </c>
      <c r="F2273" s="9">
        <v>74</v>
      </c>
      <c r="G2273" s="9">
        <v>829</v>
      </c>
      <c r="H2273" s="5" t="s">
        <v>20</v>
      </c>
      <c r="I2273" s="5" t="s">
        <v>5657</v>
      </c>
      <c r="J2273" s="12" t="str">
        <f>HYPERLINK("https://www.boe.es/gazeta/dias/1804/09/14/pdfs/GMD-1804-74.pdf#page=7","Abrir facsímil")</f>
        <v>Abrir facsímil</v>
      </c>
      <c r="K2273" s="15" t="s">
        <v>22</v>
      </c>
    </row>
    <row r="2274" spans="1:11" ht="42" customHeight="1">
      <c r="A2274" s="4" t="s">
        <v>5658</v>
      </c>
      <c r="B2274" s="5" t="s">
        <v>5658</v>
      </c>
      <c r="C2274" s="5" t="s">
        <v>57</v>
      </c>
      <c r="D2274" s="5" t="s">
        <v>58</v>
      </c>
      <c r="E2274" s="5" t="s">
        <v>526</v>
      </c>
      <c r="F2274" s="9">
        <v>95</v>
      </c>
      <c r="G2274" s="9">
        <v>1050</v>
      </c>
      <c r="H2274" s="5" t="s">
        <v>20</v>
      </c>
      <c r="I2274" s="5" t="s">
        <v>5659</v>
      </c>
      <c r="J2274" s="12" t="str">
        <f>HYPERLINK("https://www.boe.es/gazeta/dias/1804/11/27/pdfs/GMD-1804-95.pdf#page=2","Abrir facsímil")</f>
        <v>Abrir facsímil</v>
      </c>
      <c r="K2274" s="15" t="s">
        <v>22</v>
      </c>
    </row>
    <row r="2275" spans="1:11" ht="42" customHeight="1">
      <c r="A2275" s="4" t="s">
        <v>5660</v>
      </c>
      <c r="B2275" s="5" t="s">
        <v>5661</v>
      </c>
      <c r="C2275" s="5" t="s">
        <v>65</v>
      </c>
      <c r="D2275" s="5" t="s">
        <v>66</v>
      </c>
      <c r="E2275" s="5" t="s">
        <v>191</v>
      </c>
      <c r="F2275" s="9">
        <v>101</v>
      </c>
      <c r="G2275" s="9">
        <v>1128</v>
      </c>
      <c r="H2275" s="5" t="s">
        <v>20</v>
      </c>
      <c r="I2275" s="5" t="s">
        <v>5662</v>
      </c>
      <c r="J2275" s="12" t="str">
        <f>HYPERLINK("https://www.boe.es/gazeta/dias/1804/12/18/pdfs/GMD-1804-101.pdf#page=8","Abrir facsímil")</f>
        <v>Abrir facsímil</v>
      </c>
      <c r="K2275" s="15" t="s">
        <v>22</v>
      </c>
    </row>
    <row r="2276" spans="1:11" ht="42" customHeight="1">
      <c r="A2276" s="4" t="s">
        <v>5663</v>
      </c>
      <c r="B2276" s="5" t="s">
        <v>5664</v>
      </c>
      <c r="C2276" s="5" t="s">
        <v>17</v>
      </c>
      <c r="D2276" s="5" t="s">
        <v>18</v>
      </c>
      <c r="E2276" s="5" t="s">
        <v>484</v>
      </c>
      <c r="F2276" s="9">
        <v>53</v>
      </c>
      <c r="G2276" s="9">
        <v>591</v>
      </c>
      <c r="H2276" s="5" t="s">
        <v>20</v>
      </c>
      <c r="I2276" s="5" t="s">
        <v>5665</v>
      </c>
      <c r="J2276" s="12" t="str">
        <f>HYPERLINK("https://www.boe.es/gazeta/dias/1804/07/03/pdfs/GMD-1804-53.pdf#page=9","Abrir facsímil")</f>
        <v>Abrir facsímil</v>
      </c>
      <c r="K2276" s="15" t="s">
        <v>22</v>
      </c>
    </row>
    <row r="2277" spans="1:11" ht="42" customHeight="1">
      <c r="A2277" s="4" t="s">
        <v>5666</v>
      </c>
      <c r="B2277" s="5" t="s">
        <v>5667</v>
      </c>
      <c r="C2277" s="5" t="s">
        <v>65</v>
      </c>
      <c r="D2277" s="5" t="s">
        <v>66</v>
      </c>
      <c r="E2277" s="5" t="s">
        <v>298</v>
      </c>
      <c r="F2277" s="9">
        <v>10</v>
      </c>
      <c r="G2277" s="9">
        <v>109</v>
      </c>
      <c r="H2277" s="5" t="s">
        <v>20</v>
      </c>
      <c r="I2277" s="5" t="s">
        <v>5668</v>
      </c>
      <c r="J2277" s="12" t="str">
        <f>HYPERLINK("https://www.boe.es/gazeta/dias/1804/02/03/pdfs/GMD-1804-10.pdf#page=9","Abrir facsímil")</f>
        <v>Abrir facsímil</v>
      </c>
      <c r="K2277" s="15" t="s">
        <v>22</v>
      </c>
    </row>
    <row r="2278" spans="1:11" ht="42" customHeight="1">
      <c r="A2278" s="4" t="s">
        <v>5669</v>
      </c>
      <c r="B2278" s="5" t="s">
        <v>5670</v>
      </c>
      <c r="C2278" s="5" t="s">
        <v>198</v>
      </c>
      <c r="D2278" s="5" t="s">
        <v>66</v>
      </c>
      <c r="E2278" s="5" t="s">
        <v>317</v>
      </c>
      <c r="F2278" s="9">
        <v>56</v>
      </c>
      <c r="G2278" s="9">
        <v>621</v>
      </c>
      <c r="H2278" s="5" t="s">
        <v>20</v>
      </c>
      <c r="I2278" s="5" t="s">
        <v>5671</v>
      </c>
      <c r="J2278" s="12" t="str">
        <f>HYPERLINK("https://www.boe.es/gazeta/dias/1804/07/13/pdfs/GMD-1804-56.pdf#page=7","Abrir facsímil")</f>
        <v>Abrir facsímil</v>
      </c>
      <c r="K2278" s="15" t="s">
        <v>22</v>
      </c>
    </row>
    <row r="2279" spans="1:11" ht="42" customHeight="1">
      <c r="A2279" s="4" t="s">
        <v>5672</v>
      </c>
      <c r="B2279" s="5" t="s">
        <v>5673</v>
      </c>
      <c r="C2279" s="5" t="s">
        <v>27</v>
      </c>
      <c r="D2279" s="5" t="s">
        <v>28</v>
      </c>
      <c r="E2279" s="5" t="s">
        <v>132</v>
      </c>
      <c r="F2279" s="9">
        <v>52</v>
      </c>
      <c r="G2279" s="9">
        <v>573</v>
      </c>
      <c r="H2279" s="5" t="s">
        <v>20</v>
      </c>
      <c r="I2279" s="5" t="s">
        <v>5674</v>
      </c>
      <c r="J2279" s="12" t="str">
        <f>HYPERLINK("https://www.boe.es/gazeta/dias/1804/06/29/pdfs/GMD-1804-52.pdf#page=7","Abrir facsímil")</f>
        <v>Abrir facsímil</v>
      </c>
      <c r="K2279" s="15" t="s">
        <v>22</v>
      </c>
    </row>
    <row r="2280" spans="1:11" ht="42" customHeight="1">
      <c r="A2280" s="4" t="s">
        <v>5675</v>
      </c>
      <c r="B2280" s="5" t="s">
        <v>5676</v>
      </c>
      <c r="C2280" s="5" t="s">
        <v>65</v>
      </c>
      <c r="D2280" s="5" t="s">
        <v>66</v>
      </c>
      <c r="E2280" s="5" t="s">
        <v>453</v>
      </c>
      <c r="F2280" s="9">
        <v>33</v>
      </c>
      <c r="G2280" s="9">
        <v>366</v>
      </c>
      <c r="H2280" s="5" t="s">
        <v>20</v>
      </c>
      <c r="I2280" s="5" t="s">
        <v>5677</v>
      </c>
      <c r="J2280" s="12" t="str">
        <f>HYPERLINK("https://www.boe.es/gazeta/dias/1804/04/24/pdfs/GMD-1804-33.pdf#page=8","Abrir facsímil")</f>
        <v>Abrir facsímil</v>
      </c>
      <c r="K2280" s="15" t="s">
        <v>22</v>
      </c>
    </row>
    <row r="2281" spans="1:11" ht="42" customHeight="1">
      <c r="A2281" s="4" t="s">
        <v>5678</v>
      </c>
      <c r="B2281" s="5" t="s">
        <v>5679</v>
      </c>
      <c r="C2281" s="5" t="s">
        <v>65</v>
      </c>
      <c r="D2281" s="5" t="s">
        <v>66</v>
      </c>
      <c r="E2281" s="5" t="s">
        <v>111</v>
      </c>
      <c r="F2281" s="9">
        <v>40</v>
      </c>
      <c r="G2281" s="9">
        <v>447</v>
      </c>
      <c r="H2281" s="5" t="s">
        <v>20</v>
      </c>
      <c r="I2281" s="5" t="s">
        <v>5680</v>
      </c>
      <c r="J2281" s="12" t="str">
        <f>HYPERLINK("https://www.boe.es/gazeta/dias/1804/05/18/pdfs/GMD-1804-40.pdf#page=9","Abrir facsímil")</f>
        <v>Abrir facsímil</v>
      </c>
      <c r="K2281" s="15" t="s">
        <v>22</v>
      </c>
    </row>
    <row r="2282" spans="1:11" ht="42" customHeight="1">
      <c r="A2282" s="4" t="s">
        <v>5681</v>
      </c>
      <c r="B2282" s="5" t="s">
        <v>5682</v>
      </c>
      <c r="C2282" s="5" t="s">
        <v>198</v>
      </c>
      <c r="D2282" s="5" t="s">
        <v>66</v>
      </c>
      <c r="E2282" s="5" t="s">
        <v>245</v>
      </c>
      <c r="F2282" s="9">
        <v>6</v>
      </c>
      <c r="G2282" s="9">
        <v>60</v>
      </c>
      <c r="H2282" s="5" t="s">
        <v>20</v>
      </c>
      <c r="I2282" s="5" t="s">
        <v>5683</v>
      </c>
      <c r="J2282" s="12" t="str">
        <f>HYPERLINK("https://www.boe.es/gazeta/dias/1804/01/20/pdfs/GMD-1804-6.pdf#page=12","Abrir facsímil")</f>
        <v>Abrir facsímil</v>
      </c>
      <c r="K2282" s="15" t="s">
        <v>22</v>
      </c>
    </row>
    <row r="2283" spans="1:11" ht="42" customHeight="1">
      <c r="A2283" s="4" t="s">
        <v>5684</v>
      </c>
      <c r="B2283" s="5" t="s">
        <v>5685</v>
      </c>
      <c r="C2283" s="5" t="s">
        <v>27</v>
      </c>
      <c r="D2283" s="5" t="s">
        <v>28</v>
      </c>
      <c r="E2283" s="5" t="s">
        <v>19</v>
      </c>
      <c r="F2283" s="9">
        <v>60</v>
      </c>
      <c r="G2283" s="9">
        <v>665</v>
      </c>
      <c r="H2283" s="5" t="s">
        <v>20</v>
      </c>
      <c r="I2283" s="5" t="s">
        <v>5686</v>
      </c>
      <c r="J2283" s="12" t="str">
        <f>HYPERLINK("https://www.boe.es/gazeta/dias/1804/07/27/pdfs/GMD-1804-60.pdf#page=7","Abrir facsímil")</f>
        <v>Abrir facsímil</v>
      </c>
      <c r="K2283" s="15" t="s">
        <v>22</v>
      </c>
    </row>
    <row r="2284" spans="1:11" ht="42" customHeight="1">
      <c r="A2284" s="4" t="s">
        <v>5687</v>
      </c>
      <c r="B2284" s="5" t="s">
        <v>5688</v>
      </c>
      <c r="C2284" s="5" t="s">
        <v>65</v>
      </c>
      <c r="D2284" s="5" t="s">
        <v>66</v>
      </c>
      <c r="E2284" s="5" t="s">
        <v>736</v>
      </c>
      <c r="F2284" s="9">
        <v>83</v>
      </c>
      <c r="G2284" s="9">
        <v>918</v>
      </c>
      <c r="H2284" s="5" t="s">
        <v>20</v>
      </c>
      <c r="I2284" s="5" t="s">
        <v>5689</v>
      </c>
      <c r="J2284" s="12" t="str">
        <f>HYPERLINK("https://www.boe.es/gazeta/dias/1804/10/16/pdfs/GMD-1804-83.pdf#page=8","Abrir facsímil")</f>
        <v>Abrir facsímil</v>
      </c>
      <c r="K2284" s="15" t="s">
        <v>22</v>
      </c>
    </row>
    <row r="2285" spans="1:11" ht="42" customHeight="1">
      <c r="A2285" s="4" t="s">
        <v>5690</v>
      </c>
      <c r="B2285" s="5" t="s">
        <v>5691</v>
      </c>
      <c r="C2285" s="5" t="s">
        <v>27</v>
      </c>
      <c r="D2285" s="5" t="s">
        <v>28</v>
      </c>
      <c r="E2285" s="5" t="s">
        <v>308</v>
      </c>
      <c r="F2285" s="9">
        <v>96</v>
      </c>
      <c r="G2285" s="9">
        <v>1068</v>
      </c>
      <c r="H2285" s="5" t="s">
        <v>20</v>
      </c>
      <c r="I2285" s="5" t="s">
        <v>5692</v>
      </c>
      <c r="J2285" s="12" t="str">
        <f>HYPERLINK("https://www.boe.es/gazeta/dias/1804/11/30/pdfs/GMD-1804-96.pdf#page=8","Abrir facsímil")</f>
        <v>Abrir facsímil</v>
      </c>
      <c r="K2285" s="15" t="s">
        <v>22</v>
      </c>
    </row>
    <row r="2286" spans="1:11" ht="42" customHeight="1">
      <c r="A2286" s="4" t="s">
        <v>5693</v>
      </c>
      <c r="B2286" s="5" t="s">
        <v>5694</v>
      </c>
      <c r="C2286" s="5" t="s">
        <v>17</v>
      </c>
      <c r="D2286" s="5" t="s">
        <v>18</v>
      </c>
      <c r="E2286" s="5" t="s">
        <v>1449</v>
      </c>
      <c r="F2286" s="9">
        <v>8</v>
      </c>
      <c r="G2286" s="9">
        <v>85</v>
      </c>
      <c r="H2286" s="5" t="s">
        <v>20</v>
      </c>
      <c r="I2286" s="5" t="s">
        <v>5695</v>
      </c>
      <c r="J2286" s="12" t="str">
        <f>HYPERLINK("https://www.boe.es/gazeta/dias/1804/01/27/pdfs/GMD-1804-8.pdf#page=9","Abrir facsímil")</f>
        <v>Abrir facsímil</v>
      </c>
      <c r="K2286" s="15" t="s">
        <v>22</v>
      </c>
    </row>
    <row r="2287" spans="1:11" ht="42" customHeight="1">
      <c r="A2287" s="4" t="s">
        <v>5696</v>
      </c>
      <c r="B2287" s="5" t="s">
        <v>5697</v>
      </c>
      <c r="C2287" s="5" t="s">
        <v>17</v>
      </c>
      <c r="D2287" s="5" t="s">
        <v>18</v>
      </c>
      <c r="E2287" s="5" t="s">
        <v>54</v>
      </c>
      <c r="F2287" s="9">
        <v>63</v>
      </c>
      <c r="G2287" s="9">
        <v>700</v>
      </c>
      <c r="H2287" s="5" t="s">
        <v>20</v>
      </c>
      <c r="I2287" s="5" t="s">
        <v>5698</v>
      </c>
      <c r="J2287" s="12" t="str">
        <f>HYPERLINK("https://www.boe.es/gazeta/dias/1804/08/07/pdfs/GMD-1804-63.pdf#page=10","Abrir facsímil")</f>
        <v>Abrir facsímil</v>
      </c>
      <c r="K2287" s="15" t="s">
        <v>22</v>
      </c>
    </row>
    <row r="2288" spans="1:11" ht="42" customHeight="1">
      <c r="A2288" s="4" t="s">
        <v>5699</v>
      </c>
      <c r="B2288" s="5" t="s">
        <v>5700</v>
      </c>
      <c r="C2288" s="5" t="s">
        <v>27</v>
      </c>
      <c r="D2288" s="5" t="s">
        <v>28</v>
      </c>
      <c r="E2288" s="5" t="s">
        <v>298</v>
      </c>
      <c r="F2288" s="9">
        <v>10</v>
      </c>
      <c r="G2288" s="9">
        <v>109</v>
      </c>
      <c r="H2288" s="5" t="s">
        <v>20</v>
      </c>
      <c r="I2288" s="5" t="s">
        <v>5701</v>
      </c>
      <c r="J2288" s="12" t="str">
        <f>HYPERLINK("https://www.boe.es/gazeta/dias/1804/02/03/pdfs/GMD-1804-10.pdf#page=9","Abrir facsímil")</f>
        <v>Abrir facsímil</v>
      </c>
      <c r="K2288" s="15" t="s">
        <v>22</v>
      </c>
    </row>
    <row r="2289" spans="1:11" ht="42" customHeight="1">
      <c r="A2289" s="4" t="s">
        <v>5702</v>
      </c>
      <c r="B2289" s="5" t="s">
        <v>5703</v>
      </c>
      <c r="C2289" s="5" t="s">
        <v>65</v>
      </c>
      <c r="D2289" s="5" t="s">
        <v>66</v>
      </c>
      <c r="E2289" s="5" t="s">
        <v>298</v>
      </c>
      <c r="F2289" s="9">
        <v>10</v>
      </c>
      <c r="G2289" s="9">
        <v>109</v>
      </c>
      <c r="H2289" s="5" t="s">
        <v>20</v>
      </c>
      <c r="I2289" s="5" t="s">
        <v>5704</v>
      </c>
      <c r="J2289" s="12" t="str">
        <f>HYPERLINK("https://www.boe.es/gazeta/dias/1804/02/03/pdfs/GMD-1804-10.pdf#page=9","Abrir facsímil")</f>
        <v>Abrir facsímil</v>
      </c>
      <c r="K2289" s="15" t="s">
        <v>22</v>
      </c>
    </row>
    <row r="2290" spans="1:11" ht="42" customHeight="1">
      <c r="A2290" s="4" t="s">
        <v>5705</v>
      </c>
      <c r="B2290" s="5" t="s">
        <v>5706</v>
      </c>
      <c r="C2290" s="5" t="s">
        <v>65</v>
      </c>
      <c r="D2290" s="5" t="s">
        <v>66</v>
      </c>
      <c r="E2290" s="5" t="s">
        <v>350</v>
      </c>
      <c r="F2290" s="9">
        <v>19</v>
      </c>
      <c r="G2290" s="9">
        <v>209</v>
      </c>
      <c r="H2290" s="5" t="s">
        <v>20</v>
      </c>
      <c r="I2290" s="5" t="s">
        <v>5707</v>
      </c>
      <c r="J2290" s="12" t="str">
        <f>HYPERLINK("https://www.boe.es/gazeta/dias/1804/03/06/pdfs/GMD-1804-19.pdf#page=9","Abrir facsímil")</f>
        <v>Abrir facsímil</v>
      </c>
      <c r="K2290" s="15" t="s">
        <v>22</v>
      </c>
    </row>
    <row r="2291" spans="1:11" ht="42" customHeight="1">
      <c r="A2291" s="4" t="s">
        <v>5705</v>
      </c>
      <c r="B2291" s="5" t="s">
        <v>5706</v>
      </c>
      <c r="C2291" s="5" t="s">
        <v>17</v>
      </c>
      <c r="D2291" s="5" t="s">
        <v>18</v>
      </c>
      <c r="E2291" s="5" t="s">
        <v>709</v>
      </c>
      <c r="F2291" s="9">
        <v>82</v>
      </c>
      <c r="G2291" s="9">
        <v>906</v>
      </c>
      <c r="H2291" s="5" t="s">
        <v>20</v>
      </c>
      <c r="I2291" s="5" t="s">
        <v>5708</v>
      </c>
      <c r="J2291" s="12" t="str">
        <f>HYPERLINK("https://www.boe.es/gazeta/dias/1804/10/12/pdfs/GMD-1804-82.pdf#page=8","Abrir facsímil")</f>
        <v>Abrir facsímil</v>
      </c>
      <c r="K2291" s="15" t="s">
        <v>22</v>
      </c>
    </row>
    <row r="2292" spans="1:11" ht="42" customHeight="1">
      <c r="A2292" s="4" t="s">
        <v>5709</v>
      </c>
      <c r="B2292" s="5" t="s">
        <v>5710</v>
      </c>
      <c r="C2292" s="5" t="s">
        <v>27</v>
      </c>
      <c r="D2292" s="5" t="s">
        <v>28</v>
      </c>
      <c r="E2292" s="5" t="s">
        <v>226</v>
      </c>
      <c r="F2292" s="9">
        <v>17</v>
      </c>
      <c r="G2292" s="9">
        <v>187</v>
      </c>
      <c r="H2292" s="5" t="s">
        <v>20</v>
      </c>
      <c r="I2292" s="5" t="s">
        <v>5711</v>
      </c>
      <c r="J2292" s="12" t="str">
        <f>HYPERLINK("https://www.boe.es/gazeta/dias/1804/02/28/pdfs/GMD-1804-17.pdf#page=7","Abrir facsímil")</f>
        <v>Abrir facsímil</v>
      </c>
      <c r="K2292" s="15" t="s">
        <v>22</v>
      </c>
    </row>
    <row r="2293" spans="1:11" ht="42" customHeight="1">
      <c r="A2293" s="4" t="s">
        <v>5712</v>
      </c>
      <c r="B2293" s="5" t="s">
        <v>5713</v>
      </c>
      <c r="C2293" s="5" t="s">
        <v>198</v>
      </c>
      <c r="D2293" s="5" t="s">
        <v>66</v>
      </c>
      <c r="E2293" s="5" t="s">
        <v>317</v>
      </c>
      <c r="F2293" s="9">
        <v>56</v>
      </c>
      <c r="G2293" s="9">
        <v>620</v>
      </c>
      <c r="H2293" s="5" t="s">
        <v>20</v>
      </c>
      <c r="I2293" s="5" t="s">
        <v>5714</v>
      </c>
      <c r="J2293" s="12" t="str">
        <f>HYPERLINK("https://www.boe.es/gazeta/dias/1804/07/13/pdfs/GMD-1804-56.pdf#page=6","Abrir facsímil")</f>
        <v>Abrir facsímil</v>
      </c>
      <c r="K2293" s="15" t="s">
        <v>22</v>
      </c>
    </row>
    <row r="2294" spans="1:11" ht="42" customHeight="1">
      <c r="A2294" s="4" t="s">
        <v>5715</v>
      </c>
      <c r="B2294" s="5" t="s">
        <v>5716</v>
      </c>
      <c r="C2294" s="5" t="s">
        <v>27</v>
      </c>
      <c r="D2294" s="5" t="s">
        <v>28</v>
      </c>
      <c r="E2294" s="5" t="s">
        <v>111</v>
      </c>
      <c r="F2294" s="9">
        <v>40</v>
      </c>
      <c r="G2294" s="9">
        <v>447</v>
      </c>
      <c r="H2294" s="5" t="s">
        <v>20</v>
      </c>
      <c r="I2294" s="5" t="s">
        <v>5717</v>
      </c>
      <c r="J2294" s="12" t="str">
        <f>HYPERLINK("https://www.boe.es/gazeta/dias/1804/05/18/pdfs/GMD-1804-40.pdf#page=9","Abrir facsímil")</f>
        <v>Abrir facsímil</v>
      </c>
      <c r="K2294" s="15" t="s">
        <v>22</v>
      </c>
    </row>
    <row r="2295" spans="1:11" ht="42" customHeight="1">
      <c r="A2295" s="4" t="s">
        <v>5715</v>
      </c>
      <c r="B2295" s="5" t="s">
        <v>5716</v>
      </c>
      <c r="C2295" s="5" t="s">
        <v>27</v>
      </c>
      <c r="D2295" s="5" t="s">
        <v>28</v>
      </c>
      <c r="E2295" s="5" t="s">
        <v>709</v>
      </c>
      <c r="F2295" s="9">
        <v>82</v>
      </c>
      <c r="G2295" s="9">
        <v>906</v>
      </c>
      <c r="H2295" s="5" t="s">
        <v>20</v>
      </c>
      <c r="I2295" s="5" t="s">
        <v>5718</v>
      </c>
      <c r="J2295" s="12" t="str">
        <f>HYPERLINK("https://www.boe.es/gazeta/dias/1804/10/12/pdfs/GMD-1804-82.pdf#page=8","Abrir facsímil")</f>
        <v>Abrir facsímil</v>
      </c>
      <c r="K2295" s="15" t="s">
        <v>22</v>
      </c>
    </row>
    <row r="2296" spans="1:11" ht="42" customHeight="1">
      <c r="A2296" s="4" t="s">
        <v>5719</v>
      </c>
      <c r="B2296" s="5" t="s">
        <v>5720</v>
      </c>
      <c r="C2296" s="5" t="s">
        <v>65</v>
      </c>
      <c r="D2296" s="5" t="s">
        <v>66</v>
      </c>
      <c r="E2296" s="5" t="s">
        <v>111</v>
      </c>
      <c r="F2296" s="9">
        <v>40</v>
      </c>
      <c r="G2296" s="9">
        <v>448</v>
      </c>
      <c r="H2296" s="5" t="s">
        <v>20</v>
      </c>
      <c r="I2296" s="5" t="s">
        <v>5721</v>
      </c>
      <c r="J2296" s="12" t="str">
        <f>HYPERLINK("https://www.boe.es/gazeta/dias/1804/05/18/pdfs/GMD-1804-40.pdf#page=10","Abrir facsímil")</f>
        <v>Abrir facsímil</v>
      </c>
      <c r="K2296" s="15" t="s">
        <v>22</v>
      </c>
    </row>
    <row r="2297" spans="1:11" ht="42" customHeight="1">
      <c r="A2297" s="4" t="s">
        <v>5719</v>
      </c>
      <c r="B2297" s="5" t="s">
        <v>5720</v>
      </c>
      <c r="C2297" s="5" t="s">
        <v>120</v>
      </c>
      <c r="D2297" s="5" t="s">
        <v>121</v>
      </c>
      <c r="E2297" s="5" t="s">
        <v>33</v>
      </c>
      <c r="F2297" s="9">
        <v>48</v>
      </c>
      <c r="G2297" s="9" t="s">
        <v>285</v>
      </c>
      <c r="H2297" s="5" t="s">
        <v>20</v>
      </c>
      <c r="I2297" s="5" t="s">
        <v>5722</v>
      </c>
      <c r="J2297" s="12" t="str">
        <f>HYPERLINK("https://www.boe.es/gazeta/dias/1804/06/15/pdfs/GMD-C-1804-48.pdf#page=2","Abrir facsímil")</f>
        <v>Abrir facsímil</v>
      </c>
      <c r="K2297" s="15" t="s">
        <v>22</v>
      </c>
    </row>
    <row r="2298" spans="1:11" ht="42" customHeight="1">
      <c r="A2298" s="4" t="s">
        <v>5719</v>
      </c>
      <c r="B2298" s="5" t="s">
        <v>5720</v>
      </c>
      <c r="C2298" s="5" t="s">
        <v>120</v>
      </c>
      <c r="D2298" s="5" t="s">
        <v>121</v>
      </c>
      <c r="E2298" s="5" t="s">
        <v>33</v>
      </c>
      <c r="F2298" s="9">
        <v>48</v>
      </c>
      <c r="G2298" s="9" t="s">
        <v>819</v>
      </c>
      <c r="H2298" s="5" t="s">
        <v>20</v>
      </c>
      <c r="I2298" s="5" t="s">
        <v>5723</v>
      </c>
      <c r="J2298" s="12" t="str">
        <f>HYPERLINK("https://www.boe.es/gazeta/dias/1804/06/15/pdfs/GMD-C-1804-48.pdf#page=4","Abrir facsímil")</f>
        <v>Abrir facsímil</v>
      </c>
      <c r="K2298" s="15" t="s">
        <v>22</v>
      </c>
    </row>
    <row r="2299" spans="1:11" ht="42" customHeight="1">
      <c r="A2299" s="4" t="s">
        <v>5724</v>
      </c>
      <c r="B2299" s="5" t="s">
        <v>5725</v>
      </c>
      <c r="C2299" s="5" t="s">
        <v>17</v>
      </c>
      <c r="D2299" s="5" t="s">
        <v>18</v>
      </c>
      <c r="E2299" s="5" t="s">
        <v>71</v>
      </c>
      <c r="F2299" s="9">
        <v>99</v>
      </c>
      <c r="G2299" s="9">
        <v>1107</v>
      </c>
      <c r="H2299" s="5" t="s">
        <v>20</v>
      </c>
      <c r="I2299" s="5" t="s">
        <v>5726</v>
      </c>
      <c r="J2299" s="12" t="str">
        <f>HYPERLINK("https://www.boe.es/gazeta/dias/1804/12/11/pdfs/GMD-1804-99.pdf#page=7","Abrir facsímil")</f>
        <v>Abrir facsímil</v>
      </c>
      <c r="K2299" s="15" t="s">
        <v>22</v>
      </c>
    </row>
    <row r="2300" spans="1:11" ht="42" customHeight="1">
      <c r="A2300" s="4" t="s">
        <v>5727</v>
      </c>
      <c r="B2300" s="5" t="s">
        <v>5728</v>
      </c>
      <c r="C2300" s="5" t="s">
        <v>198</v>
      </c>
      <c r="D2300" s="5" t="s">
        <v>66</v>
      </c>
      <c r="E2300" s="5" t="s">
        <v>398</v>
      </c>
      <c r="F2300" s="9">
        <v>22</v>
      </c>
      <c r="G2300" s="9">
        <v>250</v>
      </c>
      <c r="H2300" s="5" t="s">
        <v>20</v>
      </c>
      <c r="I2300" s="5" t="s">
        <v>5729</v>
      </c>
      <c r="J2300" s="12" t="str">
        <f>HYPERLINK("https://www.boe.es/gazeta/dias/1804/03/16/pdfs/GMD-C-1804-22.pdf#page=2","Abrir facsímil")</f>
        <v>Abrir facsímil</v>
      </c>
      <c r="K2300" s="15" t="s">
        <v>22</v>
      </c>
    </row>
    <row r="2301" spans="1:11" ht="42" customHeight="1">
      <c r="A2301" s="4" t="s">
        <v>5727</v>
      </c>
      <c r="B2301" s="5" t="s">
        <v>5728</v>
      </c>
      <c r="C2301" s="5" t="s">
        <v>198</v>
      </c>
      <c r="D2301" s="5" t="s">
        <v>66</v>
      </c>
      <c r="E2301" s="5" t="s">
        <v>666</v>
      </c>
      <c r="F2301" s="9">
        <v>57</v>
      </c>
      <c r="G2301" s="9">
        <v>636</v>
      </c>
      <c r="H2301" s="5" t="s">
        <v>20</v>
      </c>
      <c r="I2301" s="5" t="s">
        <v>5730</v>
      </c>
      <c r="J2301" s="12" t="str">
        <f>HYPERLINK("https://www.boe.es/gazeta/dias/1804/07/17/pdfs/GMD-C-1804-57.pdf#page=2","Abrir facsímil")</f>
        <v>Abrir facsímil</v>
      </c>
      <c r="K2301" s="15" t="s">
        <v>22</v>
      </c>
    </row>
    <row r="2302" spans="1:11" ht="42" customHeight="1">
      <c r="A2302" s="4" t="s">
        <v>5731</v>
      </c>
      <c r="B2302" s="5" t="s">
        <v>5732</v>
      </c>
      <c r="C2302" s="5" t="s">
        <v>85</v>
      </c>
      <c r="D2302" s="5" t="s">
        <v>86</v>
      </c>
      <c r="E2302" s="5" t="s">
        <v>245</v>
      </c>
      <c r="F2302" s="9">
        <v>6</v>
      </c>
      <c r="G2302" s="9">
        <v>59</v>
      </c>
      <c r="H2302" s="5" t="s">
        <v>20</v>
      </c>
      <c r="I2302" s="5" t="s">
        <v>5733</v>
      </c>
      <c r="J2302" s="12" t="str">
        <f>HYPERLINK("https://www.boe.es/gazeta/dias/1804/01/20/pdfs/GMD-1804-6.pdf#page=11","Abrir facsímil")</f>
        <v>Abrir facsímil</v>
      </c>
      <c r="K2302" s="15" t="s">
        <v>22</v>
      </c>
    </row>
    <row r="2303" spans="1:11" ht="42" customHeight="1">
      <c r="A2303" s="4" t="s">
        <v>5731</v>
      </c>
      <c r="B2303" s="5" t="s">
        <v>5732</v>
      </c>
      <c r="C2303" s="5" t="s">
        <v>120</v>
      </c>
      <c r="D2303" s="5" t="s">
        <v>121</v>
      </c>
      <c r="E2303" s="5" t="s">
        <v>33</v>
      </c>
      <c r="F2303" s="9">
        <v>48</v>
      </c>
      <c r="G2303" s="9" t="s">
        <v>98</v>
      </c>
      <c r="H2303" s="5" t="s">
        <v>20</v>
      </c>
      <c r="I2303" s="5" t="s">
        <v>5734</v>
      </c>
      <c r="J2303" s="12" t="str">
        <f>HYPERLINK("https://www.boe.es/gazeta/dias/1804/06/15/pdfs/GMD-C-1804-48.pdf#page=1","Abrir facsímil")</f>
        <v>Abrir facsímil</v>
      </c>
      <c r="K2303" s="15" t="s">
        <v>22</v>
      </c>
    </row>
    <row r="2304" spans="1:11" ht="42" customHeight="1">
      <c r="A2304" s="4" t="s">
        <v>5731</v>
      </c>
      <c r="B2304" s="5" t="s">
        <v>5732</v>
      </c>
      <c r="C2304" s="5" t="s">
        <v>27</v>
      </c>
      <c r="D2304" s="5" t="s">
        <v>28</v>
      </c>
      <c r="E2304" s="5" t="s">
        <v>308</v>
      </c>
      <c r="F2304" s="9">
        <v>96</v>
      </c>
      <c r="G2304" s="9">
        <v>1067</v>
      </c>
      <c r="H2304" s="5" t="s">
        <v>20</v>
      </c>
      <c r="I2304" s="5" t="s">
        <v>5735</v>
      </c>
      <c r="J2304" s="12" t="str">
        <f>HYPERLINK("https://www.boe.es/gazeta/dias/1804/11/30/pdfs/GMD-1804-96.pdf#page=7","Abrir facsímil")</f>
        <v>Abrir facsímil</v>
      </c>
      <c r="K2304" s="15" t="s">
        <v>22</v>
      </c>
    </row>
    <row r="2305" spans="1:11" ht="42" customHeight="1">
      <c r="A2305" s="4" t="s">
        <v>5736</v>
      </c>
      <c r="B2305" s="5" t="s">
        <v>5737</v>
      </c>
      <c r="C2305" s="5" t="s">
        <v>27</v>
      </c>
      <c r="D2305" s="5" t="s">
        <v>28</v>
      </c>
      <c r="E2305" s="5" t="s">
        <v>163</v>
      </c>
      <c r="F2305" s="9">
        <v>70</v>
      </c>
      <c r="G2305" s="9">
        <v>784</v>
      </c>
      <c r="H2305" s="5" t="s">
        <v>20</v>
      </c>
      <c r="I2305" s="5" t="s">
        <v>5738</v>
      </c>
      <c r="J2305" s="12" t="str">
        <f>HYPERLINK("https://www.boe.es/gazeta/dias/1804/08/31/pdfs/GMD-1804-70.pdf#page=6","Abrir facsímil")</f>
        <v>Abrir facsímil</v>
      </c>
      <c r="K2305" s="15" t="s">
        <v>22</v>
      </c>
    </row>
    <row r="2306" spans="1:11" ht="42" customHeight="1">
      <c r="A2306" s="4" t="s">
        <v>5739</v>
      </c>
      <c r="B2306" s="5" t="s">
        <v>5740</v>
      </c>
      <c r="C2306" s="5" t="s">
        <v>27</v>
      </c>
      <c r="D2306" s="5" t="s">
        <v>28</v>
      </c>
      <c r="E2306" s="5" t="s">
        <v>1278</v>
      </c>
      <c r="F2306" s="9">
        <v>37</v>
      </c>
      <c r="G2306" s="9">
        <v>411</v>
      </c>
      <c r="H2306" s="5" t="s">
        <v>20</v>
      </c>
      <c r="I2306" s="5" t="s">
        <v>5741</v>
      </c>
      <c r="J2306" s="12" t="str">
        <f>HYPERLINK("https://www.boe.es/gazeta/dias/1804/05/08/pdfs/GMD-1804-37.pdf#page=9","Abrir facsímil")</f>
        <v>Abrir facsímil</v>
      </c>
      <c r="K2306" s="15" t="s">
        <v>22</v>
      </c>
    </row>
    <row r="2307" spans="1:11" ht="42" customHeight="1">
      <c r="A2307" s="4" t="s">
        <v>5742</v>
      </c>
      <c r="B2307" s="5" t="s">
        <v>5743</v>
      </c>
      <c r="C2307" s="5" t="s">
        <v>120</v>
      </c>
      <c r="D2307" s="5" t="s">
        <v>121</v>
      </c>
      <c r="E2307" s="5" t="s">
        <v>33</v>
      </c>
      <c r="F2307" s="9">
        <v>48</v>
      </c>
      <c r="G2307" s="9" t="s">
        <v>819</v>
      </c>
      <c r="H2307" s="5" t="s">
        <v>20</v>
      </c>
      <c r="I2307" s="5" t="s">
        <v>5744</v>
      </c>
      <c r="J2307" s="12" t="str">
        <f>HYPERLINK("https://www.boe.es/gazeta/dias/1804/06/15/pdfs/GMD-C-1804-48.pdf#page=4","Abrir facsímil")</f>
        <v>Abrir facsímil</v>
      </c>
      <c r="K2307" s="15" t="s">
        <v>22</v>
      </c>
    </row>
    <row r="2308" spans="1:11" ht="42" customHeight="1">
      <c r="A2308" s="4" t="s">
        <v>5745</v>
      </c>
      <c r="B2308" s="5" t="s">
        <v>5746</v>
      </c>
      <c r="C2308" s="5" t="s">
        <v>17</v>
      </c>
      <c r="D2308" s="5" t="s">
        <v>18</v>
      </c>
      <c r="E2308" s="5" t="s">
        <v>67</v>
      </c>
      <c r="F2308" s="9">
        <v>59</v>
      </c>
      <c r="G2308" s="9">
        <v>651</v>
      </c>
      <c r="H2308" s="5" t="s">
        <v>20</v>
      </c>
      <c r="I2308" s="5" t="s">
        <v>5747</v>
      </c>
      <c r="J2308" s="12" t="str">
        <f>HYPERLINK("https://www.boe.es/gazeta/dias/1804/07/24/pdfs/GMD-1804-59.pdf#page=5","Abrir facsímil")</f>
        <v>Abrir facsímil</v>
      </c>
      <c r="K2308" s="15" t="s">
        <v>22</v>
      </c>
    </row>
    <row r="2309" spans="1:11" ht="42" customHeight="1">
      <c r="A2309" s="4" t="s">
        <v>5748</v>
      </c>
      <c r="B2309" s="5" t="s">
        <v>5749</v>
      </c>
      <c r="C2309" s="5" t="s">
        <v>27</v>
      </c>
      <c r="D2309" s="5" t="s">
        <v>28</v>
      </c>
      <c r="E2309" s="5" t="s">
        <v>1278</v>
      </c>
      <c r="F2309" s="9">
        <v>37</v>
      </c>
      <c r="G2309" s="9">
        <v>411</v>
      </c>
      <c r="H2309" s="5" t="s">
        <v>20</v>
      </c>
      <c r="I2309" s="5" t="s">
        <v>5750</v>
      </c>
      <c r="J2309" s="12" t="str">
        <f>HYPERLINK("https://www.boe.es/gazeta/dias/1804/05/08/pdfs/GMD-1804-37.pdf#page=9","Abrir facsímil")</f>
        <v>Abrir facsímil</v>
      </c>
      <c r="K2309" s="15" t="s">
        <v>22</v>
      </c>
    </row>
    <row r="2310" spans="1:11" ht="42" customHeight="1">
      <c r="A2310" s="4" t="s">
        <v>5751</v>
      </c>
      <c r="B2310" s="5" t="s">
        <v>5752</v>
      </c>
      <c r="C2310" s="5" t="s">
        <v>120</v>
      </c>
      <c r="D2310" s="5" t="s">
        <v>121</v>
      </c>
      <c r="E2310" s="5" t="s">
        <v>33</v>
      </c>
      <c r="F2310" s="9">
        <v>48</v>
      </c>
      <c r="G2310" s="9" t="s">
        <v>819</v>
      </c>
      <c r="H2310" s="5" t="s">
        <v>20</v>
      </c>
      <c r="I2310" s="5" t="s">
        <v>5753</v>
      </c>
      <c r="J2310" s="12" t="str">
        <f>HYPERLINK("https://www.boe.es/gazeta/dias/1804/06/15/pdfs/GMD-C-1804-48.pdf#page=4","Abrir facsímil")</f>
        <v>Abrir facsímil</v>
      </c>
      <c r="K2310" s="15" t="s">
        <v>22</v>
      </c>
    </row>
    <row r="2311" spans="1:11" ht="42" customHeight="1">
      <c r="A2311" s="4" t="s">
        <v>5754</v>
      </c>
      <c r="B2311" s="5" t="s">
        <v>5755</v>
      </c>
      <c r="C2311" s="5" t="s">
        <v>65</v>
      </c>
      <c r="D2311" s="5" t="s">
        <v>66</v>
      </c>
      <c r="E2311" s="5" t="s">
        <v>453</v>
      </c>
      <c r="F2311" s="9">
        <v>33</v>
      </c>
      <c r="G2311" s="9">
        <v>366</v>
      </c>
      <c r="H2311" s="5" t="s">
        <v>20</v>
      </c>
      <c r="I2311" s="5" t="s">
        <v>5756</v>
      </c>
      <c r="J2311" s="12" t="str">
        <f>HYPERLINK("https://www.boe.es/gazeta/dias/1804/04/24/pdfs/GMD-1804-33.pdf#page=8","Abrir facsímil")</f>
        <v>Abrir facsímil</v>
      </c>
      <c r="K2311" s="15" t="s">
        <v>22</v>
      </c>
    </row>
    <row r="2312" spans="1:11" ht="42" customHeight="1">
      <c r="A2312" s="4" t="s">
        <v>5757</v>
      </c>
      <c r="B2312" s="5" t="s">
        <v>5758</v>
      </c>
      <c r="C2312" s="5" t="s">
        <v>65</v>
      </c>
      <c r="D2312" s="5" t="s">
        <v>66</v>
      </c>
      <c r="E2312" s="5" t="s">
        <v>637</v>
      </c>
      <c r="F2312" s="9">
        <v>74</v>
      </c>
      <c r="G2312" s="9">
        <v>833</v>
      </c>
      <c r="H2312" s="5" t="s">
        <v>20</v>
      </c>
      <c r="I2312" s="5" t="s">
        <v>5759</v>
      </c>
      <c r="J2312" s="12" t="str">
        <f>HYPERLINK("https://www.boe.es/gazeta/dias/1804/09/14/pdfs/GMD-1804-74.pdf#page=11","Abrir facsímil")</f>
        <v>Abrir facsímil</v>
      </c>
      <c r="K2312" s="15" t="s">
        <v>22</v>
      </c>
    </row>
    <row r="2313" spans="1:11" ht="42" customHeight="1">
      <c r="A2313" s="4" t="s">
        <v>5760</v>
      </c>
      <c r="B2313" s="5" t="s">
        <v>5761</v>
      </c>
      <c r="C2313" s="5" t="s">
        <v>27</v>
      </c>
      <c r="D2313" s="5" t="s">
        <v>28</v>
      </c>
      <c r="E2313" s="5" t="s">
        <v>182</v>
      </c>
      <c r="F2313" s="9">
        <v>21</v>
      </c>
      <c r="G2313" s="9">
        <v>236</v>
      </c>
      <c r="H2313" s="5" t="s">
        <v>20</v>
      </c>
      <c r="I2313" s="5" t="s">
        <v>5762</v>
      </c>
      <c r="J2313" s="12" t="str">
        <f>HYPERLINK("https://www.boe.es/gazeta/dias/1804/03/13/pdfs/GMD-1804-21.pdf#page=12","Abrir facsímil")</f>
        <v>Abrir facsímil</v>
      </c>
      <c r="K2313" s="15" t="s">
        <v>22</v>
      </c>
    </row>
    <row r="2314" spans="1:11" ht="42" customHeight="1">
      <c r="A2314" s="4" t="s">
        <v>5763</v>
      </c>
      <c r="B2314" s="5" t="s">
        <v>5764</v>
      </c>
      <c r="C2314" s="5" t="s">
        <v>17</v>
      </c>
      <c r="D2314" s="5" t="s">
        <v>18</v>
      </c>
      <c r="E2314" s="5" t="s">
        <v>199</v>
      </c>
      <c r="F2314" s="9">
        <v>46</v>
      </c>
      <c r="G2314" s="9">
        <v>513</v>
      </c>
      <c r="H2314" s="5" t="s">
        <v>20</v>
      </c>
      <c r="I2314" s="5" t="s">
        <v>5765</v>
      </c>
      <c r="J2314" s="12" t="str">
        <f>HYPERLINK("https://www.boe.es/gazeta/dias/1804/06/08/pdfs/GMD-1804-46.pdf#page=11","Abrir facsímil")</f>
        <v>Abrir facsímil</v>
      </c>
      <c r="K2314" s="15" t="s">
        <v>22</v>
      </c>
    </row>
    <row r="2315" spans="1:11" ht="42" customHeight="1">
      <c r="A2315" s="4" t="s">
        <v>5766</v>
      </c>
      <c r="B2315" s="5" t="s">
        <v>5767</v>
      </c>
      <c r="C2315" s="5" t="s">
        <v>17</v>
      </c>
      <c r="D2315" s="5" t="s">
        <v>18</v>
      </c>
      <c r="E2315" s="5" t="s">
        <v>736</v>
      </c>
      <c r="F2315" s="9">
        <v>83</v>
      </c>
      <c r="G2315" s="9">
        <v>921</v>
      </c>
      <c r="H2315" s="5" t="s">
        <v>20</v>
      </c>
      <c r="I2315" s="5" t="s">
        <v>5768</v>
      </c>
      <c r="J2315" s="12" t="str">
        <f>HYPERLINK("https://www.boe.es/gazeta/dias/1804/10/16/pdfs/GMD-1804-83.pdf#page=11","Abrir facsímil")</f>
        <v>Abrir facsímil</v>
      </c>
      <c r="K2315" s="15" t="s">
        <v>22</v>
      </c>
    </row>
    <row r="2316" spans="1:11" ht="42" customHeight="1">
      <c r="A2316" s="4" t="s">
        <v>5769</v>
      </c>
      <c r="B2316" s="5" t="s">
        <v>5770</v>
      </c>
      <c r="C2316" s="5" t="s">
        <v>27</v>
      </c>
      <c r="D2316" s="5" t="s">
        <v>28</v>
      </c>
      <c r="E2316" s="5" t="s">
        <v>326</v>
      </c>
      <c r="F2316" s="9">
        <v>69</v>
      </c>
      <c r="G2316" s="9">
        <v>775</v>
      </c>
      <c r="H2316" s="5" t="s">
        <v>20</v>
      </c>
      <c r="I2316" s="5" t="s">
        <v>5771</v>
      </c>
      <c r="J2316" s="12" t="str">
        <f>HYPERLINK("https://www.boe.es/gazeta/dias/1804/08/28/pdfs/GMD-1804-69.pdf#page=9","Abrir facsímil")</f>
        <v>Abrir facsímil</v>
      </c>
      <c r="K2316" s="15" t="s">
        <v>22</v>
      </c>
    </row>
    <row r="2317" spans="1:11" ht="42" customHeight="1">
      <c r="A2317" s="4" t="s">
        <v>5772</v>
      </c>
      <c r="B2317" s="5" t="s">
        <v>5773</v>
      </c>
      <c r="C2317" s="5" t="s">
        <v>27</v>
      </c>
      <c r="D2317" s="5" t="s">
        <v>28</v>
      </c>
      <c r="E2317" s="5" t="s">
        <v>339</v>
      </c>
      <c r="F2317" s="9">
        <v>94</v>
      </c>
      <c r="G2317" s="9">
        <v>1038</v>
      </c>
      <c r="H2317" s="5" t="s">
        <v>20</v>
      </c>
      <c r="I2317" s="5" t="s">
        <v>5774</v>
      </c>
      <c r="J2317" s="12" t="str">
        <f>HYPERLINK("https://www.boe.es/gazeta/dias/1804/11/23/pdfs/GMD-1804-94.pdf#page=6","Abrir facsímil")</f>
        <v>Abrir facsímil</v>
      </c>
      <c r="K2317" s="15" t="s">
        <v>22</v>
      </c>
    </row>
    <row r="2318" spans="1:11" ht="42" customHeight="1">
      <c r="A2318" s="4" t="s">
        <v>5775</v>
      </c>
      <c r="B2318" s="5" t="s">
        <v>5776</v>
      </c>
      <c r="C2318" s="5" t="s">
        <v>17</v>
      </c>
      <c r="D2318" s="5" t="s">
        <v>18</v>
      </c>
      <c r="E2318" s="5" t="s">
        <v>497</v>
      </c>
      <c r="F2318" s="9">
        <v>25</v>
      </c>
      <c r="G2318" s="9">
        <v>286</v>
      </c>
      <c r="H2318" s="5" t="s">
        <v>20</v>
      </c>
      <c r="I2318" s="5" t="s">
        <v>5777</v>
      </c>
      <c r="J2318" s="12" t="str">
        <f>HYPERLINK("https://www.boe.es/gazeta/dias/1804/03/27/pdfs/GMD-1804-25.pdf#page=8","Abrir facsímil")</f>
        <v>Abrir facsímil</v>
      </c>
      <c r="K2318" s="15" t="s">
        <v>22</v>
      </c>
    </row>
    <row r="2319" spans="1:11" ht="42" customHeight="1">
      <c r="A2319" s="4" t="s">
        <v>5778</v>
      </c>
      <c r="B2319" s="5" t="s">
        <v>5779</v>
      </c>
      <c r="C2319" s="5" t="s">
        <v>17</v>
      </c>
      <c r="D2319" s="5" t="s">
        <v>18</v>
      </c>
      <c r="E2319" s="5" t="s">
        <v>421</v>
      </c>
      <c r="F2319" s="9">
        <v>47</v>
      </c>
      <c r="G2319" s="9">
        <v>527</v>
      </c>
      <c r="H2319" s="5" t="s">
        <v>20</v>
      </c>
      <c r="I2319" s="5" t="s">
        <v>5780</v>
      </c>
      <c r="J2319" s="12" t="str">
        <f>HYPERLINK("https://www.boe.es/gazeta/dias/1804/06/12/pdfs/GMD-1804-47.pdf#page=9","Abrir facsímil")</f>
        <v>Abrir facsímil</v>
      </c>
      <c r="K2319" s="15" t="s">
        <v>22</v>
      </c>
    </row>
    <row r="2320" spans="1:11" ht="42" customHeight="1">
      <c r="A2320" s="4" t="s">
        <v>5781</v>
      </c>
      <c r="B2320" s="5" t="s">
        <v>5782</v>
      </c>
      <c r="C2320" s="5" t="s">
        <v>17</v>
      </c>
      <c r="D2320" s="5" t="s">
        <v>18</v>
      </c>
      <c r="E2320" s="5" t="s">
        <v>37</v>
      </c>
      <c r="F2320" s="9">
        <v>29</v>
      </c>
      <c r="G2320" s="9">
        <v>318</v>
      </c>
      <c r="H2320" s="5" t="s">
        <v>20</v>
      </c>
      <c r="I2320" s="5" t="s">
        <v>5783</v>
      </c>
      <c r="J2320" s="12" t="str">
        <f>HYPERLINK("https://www.boe.es/gazeta/dias/1804/04/10/pdfs/GMD-1804-29.pdf#page=8","Abrir facsímil")</f>
        <v>Abrir facsímil</v>
      </c>
      <c r="K2320" s="15" t="s">
        <v>22</v>
      </c>
    </row>
    <row r="2321" spans="1:11" ht="42" customHeight="1">
      <c r="A2321" s="4" t="s">
        <v>5784</v>
      </c>
      <c r="B2321" s="5" t="s">
        <v>5785</v>
      </c>
      <c r="C2321" s="5" t="s">
        <v>17</v>
      </c>
      <c r="D2321" s="5" t="s">
        <v>18</v>
      </c>
      <c r="E2321" s="5" t="s">
        <v>398</v>
      </c>
      <c r="F2321" s="9">
        <v>22</v>
      </c>
      <c r="G2321" s="9">
        <v>244</v>
      </c>
      <c r="H2321" s="5" t="s">
        <v>20</v>
      </c>
      <c r="I2321" s="5" t="s">
        <v>5786</v>
      </c>
      <c r="J2321" s="12" t="str">
        <f>HYPERLINK("https://www.boe.es/gazeta/dias/1804/03/16/pdfs/GMD-1804-22.pdf#page=8","Abrir facsímil")</f>
        <v>Abrir facsímil</v>
      </c>
      <c r="K2321" s="15" t="s">
        <v>22</v>
      </c>
    </row>
    <row r="2322" spans="1:11" ht="42" customHeight="1">
      <c r="A2322" s="4" t="s">
        <v>5787</v>
      </c>
      <c r="B2322" s="5" t="s">
        <v>5788</v>
      </c>
      <c r="C2322" s="5" t="s">
        <v>27</v>
      </c>
      <c r="D2322" s="5" t="s">
        <v>28</v>
      </c>
      <c r="E2322" s="5" t="s">
        <v>272</v>
      </c>
      <c r="F2322" s="9">
        <v>30</v>
      </c>
      <c r="G2322" s="9">
        <v>331</v>
      </c>
      <c r="H2322" s="5" t="s">
        <v>20</v>
      </c>
      <c r="I2322" s="5" t="s">
        <v>5789</v>
      </c>
      <c r="J2322" s="12" t="str">
        <f>HYPERLINK("https://www.boe.es/gazeta/dias/1804/04/13/pdfs/GMD-1804-30.pdf#page=9","Abrir facsímil")</f>
        <v>Abrir facsímil</v>
      </c>
      <c r="K2322" s="15" t="s">
        <v>22</v>
      </c>
    </row>
    <row r="2323" spans="1:11" ht="42" customHeight="1">
      <c r="A2323" s="4" t="s">
        <v>5790</v>
      </c>
      <c r="B2323" s="5" t="s">
        <v>5791</v>
      </c>
      <c r="C2323" s="5" t="s">
        <v>65</v>
      </c>
      <c r="D2323" s="5" t="s">
        <v>66</v>
      </c>
      <c r="E2323" s="5" t="s">
        <v>97</v>
      </c>
      <c r="F2323" s="9">
        <v>50</v>
      </c>
      <c r="G2323" s="9">
        <v>552</v>
      </c>
      <c r="H2323" s="5" t="s">
        <v>20</v>
      </c>
      <c r="I2323" s="5" t="s">
        <v>5792</v>
      </c>
      <c r="J2323" s="12" t="str">
        <f>HYPERLINK("https://www.boe.es/gazeta/dias/1804/06/22/pdfs/GMD-1804-50.pdf#page=6","Abrir facsímil")</f>
        <v>Abrir facsímil</v>
      </c>
      <c r="K2323" s="15" t="s">
        <v>22</v>
      </c>
    </row>
    <row r="2324" spans="1:11" ht="42" customHeight="1">
      <c r="A2324" s="4" t="s">
        <v>5793</v>
      </c>
      <c r="B2324" s="5" t="s">
        <v>5794</v>
      </c>
      <c r="C2324" s="5" t="s">
        <v>17</v>
      </c>
      <c r="D2324" s="5" t="s">
        <v>18</v>
      </c>
      <c r="E2324" s="5" t="s">
        <v>678</v>
      </c>
      <c r="F2324" s="9">
        <v>104</v>
      </c>
      <c r="G2324" s="9">
        <v>1163</v>
      </c>
      <c r="H2324" s="5" t="s">
        <v>20</v>
      </c>
      <c r="I2324" s="5" t="s">
        <v>5795</v>
      </c>
      <c r="J2324" s="12" t="str">
        <f>HYPERLINK("https://www.boe.es/gazeta/dias/1804/12/28/pdfs/GMD-1804-104.pdf#page=11","Abrir facsímil")</f>
        <v>Abrir facsímil</v>
      </c>
      <c r="K2324" s="15" t="s">
        <v>22</v>
      </c>
    </row>
    <row r="2325" spans="1:11" ht="42" customHeight="1">
      <c r="A2325" s="4" t="s">
        <v>5796</v>
      </c>
      <c r="B2325" s="5" t="s">
        <v>5797</v>
      </c>
      <c r="C2325" s="5" t="s">
        <v>65</v>
      </c>
      <c r="D2325" s="5" t="s">
        <v>66</v>
      </c>
      <c r="E2325" s="5" t="s">
        <v>106</v>
      </c>
      <c r="F2325" s="9">
        <v>34</v>
      </c>
      <c r="G2325" s="9">
        <v>377</v>
      </c>
      <c r="H2325" s="5" t="s">
        <v>20</v>
      </c>
      <c r="I2325" s="5" t="s">
        <v>5798</v>
      </c>
      <c r="J2325" s="12" t="str">
        <f>HYPERLINK("https://www.boe.es/gazeta/dias/1804/04/27/pdfs/GMD-1804-34.pdf#page=7","Abrir facsímil")</f>
        <v>Abrir facsímil</v>
      </c>
      <c r="K2325" s="15" t="s">
        <v>22</v>
      </c>
    </row>
    <row r="2326" spans="1:11" ht="42" customHeight="1">
      <c r="A2326" s="4" t="s">
        <v>5799</v>
      </c>
      <c r="B2326" s="5" t="s">
        <v>5800</v>
      </c>
      <c r="C2326" s="5" t="s">
        <v>17</v>
      </c>
      <c r="D2326" s="5" t="s">
        <v>18</v>
      </c>
      <c r="E2326" s="5" t="s">
        <v>19</v>
      </c>
      <c r="F2326" s="9">
        <v>60</v>
      </c>
      <c r="G2326" s="9">
        <v>664</v>
      </c>
      <c r="H2326" s="5" t="s">
        <v>20</v>
      </c>
      <c r="I2326" s="5" t="s">
        <v>5801</v>
      </c>
      <c r="J2326" s="12" t="str">
        <f>HYPERLINK("https://www.boe.es/gazeta/dias/1804/07/27/pdfs/GMD-1804-60.pdf#page=6","Abrir facsímil")</f>
        <v>Abrir facsímil</v>
      </c>
      <c r="K2326" s="15" t="s">
        <v>22</v>
      </c>
    </row>
    <row r="2327" spans="1:11" ht="42" customHeight="1">
      <c r="A2327" s="4" t="s">
        <v>5802</v>
      </c>
      <c r="B2327" s="5" t="s">
        <v>5803</v>
      </c>
      <c r="C2327" s="5" t="s">
        <v>65</v>
      </c>
      <c r="D2327" s="5" t="s">
        <v>66</v>
      </c>
      <c r="E2327" s="5" t="s">
        <v>515</v>
      </c>
      <c r="F2327" s="9">
        <v>102</v>
      </c>
      <c r="G2327" s="9">
        <v>1139</v>
      </c>
      <c r="H2327" s="5" t="s">
        <v>20</v>
      </c>
      <c r="I2327" s="5" t="s">
        <v>5804</v>
      </c>
      <c r="J2327" s="12" t="str">
        <f>HYPERLINK("https://www.boe.es/gazeta/dias/1804/12/21/pdfs/GMD-1804-102.pdf#page=7","Abrir facsímil")</f>
        <v>Abrir facsímil</v>
      </c>
      <c r="K2327" s="15" t="s">
        <v>22</v>
      </c>
    </row>
    <row r="2328" spans="1:11" ht="42" customHeight="1">
      <c r="A2328" s="4" t="s">
        <v>5805</v>
      </c>
      <c r="B2328" s="5" t="s">
        <v>5806</v>
      </c>
      <c r="C2328" s="5" t="s">
        <v>65</v>
      </c>
      <c r="D2328" s="5" t="s">
        <v>66</v>
      </c>
      <c r="E2328" s="5" t="s">
        <v>75</v>
      </c>
      <c r="F2328" s="9">
        <v>16</v>
      </c>
      <c r="G2328" s="9">
        <v>173</v>
      </c>
      <c r="H2328" s="5" t="s">
        <v>20</v>
      </c>
      <c r="I2328" s="5" t="s">
        <v>5807</v>
      </c>
      <c r="J2328" s="12" t="str">
        <f>HYPERLINK("https://www.boe.es/gazeta/dias/1804/02/24/pdfs/GMD-1804-16.pdf#page=9","Abrir facsímil")</f>
        <v>Abrir facsímil</v>
      </c>
      <c r="K2328" s="15" t="s">
        <v>22</v>
      </c>
    </row>
    <row r="2329" spans="1:11" ht="42" customHeight="1">
      <c r="A2329" s="4" t="s">
        <v>5805</v>
      </c>
      <c r="B2329" s="5" t="s">
        <v>5806</v>
      </c>
      <c r="C2329" s="5" t="s">
        <v>27</v>
      </c>
      <c r="D2329" s="5" t="s">
        <v>28</v>
      </c>
      <c r="E2329" s="5" t="s">
        <v>320</v>
      </c>
      <c r="F2329" s="9">
        <v>31</v>
      </c>
      <c r="G2329" s="9">
        <v>343</v>
      </c>
      <c r="H2329" s="5" t="s">
        <v>20</v>
      </c>
      <c r="I2329" s="5" t="s">
        <v>5808</v>
      </c>
      <c r="J2329" s="12" t="str">
        <f>HYPERLINK("https://www.boe.es/gazeta/dias/1804/04/17/pdfs/GMD-1804-31.pdf#page=9","Abrir facsímil")</f>
        <v>Abrir facsímil</v>
      </c>
      <c r="K2329" s="15" t="s">
        <v>22</v>
      </c>
    </row>
    <row r="2330" spans="1:11" ht="42" customHeight="1">
      <c r="A2330" s="4" t="s">
        <v>5805</v>
      </c>
      <c r="B2330" s="5" t="s">
        <v>5806</v>
      </c>
      <c r="C2330" s="5" t="s">
        <v>27</v>
      </c>
      <c r="D2330" s="5" t="s">
        <v>28</v>
      </c>
      <c r="E2330" s="5" t="s">
        <v>241</v>
      </c>
      <c r="F2330" s="9">
        <v>71</v>
      </c>
      <c r="G2330" s="9">
        <v>791</v>
      </c>
      <c r="H2330" s="5" t="s">
        <v>20</v>
      </c>
      <c r="I2330" s="5" t="s">
        <v>5809</v>
      </c>
      <c r="J2330" s="12" t="str">
        <f>HYPERLINK("https://www.boe.es/gazeta/dias/1804/09/04/pdfs/GMD-1804-71.pdf#page=5","Abrir facsímil")</f>
        <v>Abrir facsímil</v>
      </c>
      <c r="K2330" s="15" t="s">
        <v>22</v>
      </c>
    </row>
    <row r="2331" spans="1:11" ht="42" customHeight="1">
      <c r="A2331" s="4" t="s">
        <v>5805</v>
      </c>
      <c r="B2331" s="5" t="s">
        <v>5806</v>
      </c>
      <c r="C2331" s="5" t="s">
        <v>27</v>
      </c>
      <c r="D2331" s="5" t="s">
        <v>28</v>
      </c>
      <c r="E2331" s="5" t="s">
        <v>950</v>
      </c>
      <c r="F2331" s="9">
        <v>90</v>
      </c>
      <c r="G2331" s="9">
        <v>999</v>
      </c>
      <c r="H2331" s="5" t="s">
        <v>20</v>
      </c>
      <c r="I2331" s="5" t="s">
        <v>5810</v>
      </c>
      <c r="J2331" s="12" t="str">
        <f>HYPERLINK("https://www.boe.es/gazeta/dias/1804/11/09/pdfs/GMD-1804-90.pdf#page=7","Abrir facsímil")</f>
        <v>Abrir facsímil</v>
      </c>
      <c r="K2331" s="15" t="s">
        <v>22</v>
      </c>
    </row>
    <row r="2332" spans="1:11" ht="42" customHeight="1">
      <c r="A2332" s="4" t="s">
        <v>5811</v>
      </c>
      <c r="B2332" s="5" t="s">
        <v>5812</v>
      </c>
      <c r="C2332" s="5" t="s">
        <v>27</v>
      </c>
      <c r="D2332" s="5" t="s">
        <v>28</v>
      </c>
      <c r="E2332" s="5" t="s">
        <v>302</v>
      </c>
      <c r="F2332" s="9">
        <v>3</v>
      </c>
      <c r="G2332" s="9">
        <v>27</v>
      </c>
      <c r="H2332" s="5" t="s">
        <v>20</v>
      </c>
      <c r="I2332" s="5" t="s">
        <v>5813</v>
      </c>
      <c r="J2332" s="12" t="str">
        <f>HYPERLINK("https://www.boe.es/gazeta/dias/1804/01/10/pdfs/GMD-1804-3.pdf#page=7","Abrir facsímil")</f>
        <v>Abrir facsímil</v>
      </c>
      <c r="K2332" s="15" t="s">
        <v>22</v>
      </c>
    </row>
    <row r="2333" spans="1:11" ht="42" customHeight="1">
      <c r="A2333" s="4" t="s">
        <v>5811</v>
      </c>
      <c r="B2333" s="5" t="s">
        <v>5812</v>
      </c>
      <c r="C2333" s="5" t="s">
        <v>65</v>
      </c>
      <c r="D2333" s="5" t="s">
        <v>66</v>
      </c>
      <c r="E2333" s="5" t="s">
        <v>623</v>
      </c>
      <c r="F2333" s="9">
        <v>51</v>
      </c>
      <c r="G2333" s="9">
        <v>565</v>
      </c>
      <c r="H2333" s="5" t="s">
        <v>20</v>
      </c>
      <c r="I2333" s="5" t="s">
        <v>5814</v>
      </c>
      <c r="J2333" s="12" t="str">
        <f>HYPERLINK("https://www.boe.es/gazeta/dias/1804/06/26/pdfs/GMD-1804-51.pdf#page=11","Abrir facsímil")</f>
        <v>Abrir facsímil</v>
      </c>
      <c r="K2333" s="15" t="s">
        <v>22</v>
      </c>
    </row>
    <row r="2334" spans="1:11" ht="42" customHeight="1">
      <c r="A2334" s="4" t="s">
        <v>5811</v>
      </c>
      <c r="B2334" s="5" t="s">
        <v>5812</v>
      </c>
      <c r="C2334" s="5" t="s">
        <v>27</v>
      </c>
      <c r="D2334" s="5" t="s">
        <v>28</v>
      </c>
      <c r="E2334" s="5" t="s">
        <v>367</v>
      </c>
      <c r="F2334" s="9">
        <v>64</v>
      </c>
      <c r="G2334" s="9">
        <v>718</v>
      </c>
      <c r="H2334" s="5" t="s">
        <v>20</v>
      </c>
      <c r="I2334" s="5" t="s">
        <v>5815</v>
      </c>
      <c r="J2334" s="12" t="str">
        <f>HYPERLINK("https://www.boe.es/gazeta/dias/1804/08/10/pdfs/GMD-1804-64.pdf#page=12","Abrir facsímil")</f>
        <v>Abrir facsímil</v>
      </c>
      <c r="K2334" s="15" t="s">
        <v>22</v>
      </c>
    </row>
    <row r="2335" spans="1:11" ht="42" customHeight="1">
      <c r="A2335" s="4" t="s">
        <v>5816</v>
      </c>
      <c r="B2335" s="5" t="s">
        <v>5817</v>
      </c>
      <c r="C2335" s="5" t="s">
        <v>27</v>
      </c>
      <c r="D2335" s="5" t="s">
        <v>28</v>
      </c>
      <c r="E2335" s="5" t="s">
        <v>421</v>
      </c>
      <c r="F2335" s="9">
        <v>47</v>
      </c>
      <c r="G2335" s="9">
        <v>527</v>
      </c>
      <c r="H2335" s="5" t="s">
        <v>20</v>
      </c>
      <c r="I2335" s="5" t="s">
        <v>5818</v>
      </c>
      <c r="J2335" s="12" t="str">
        <f>HYPERLINK("https://www.boe.es/gazeta/dias/1804/06/12/pdfs/GMD-1804-47.pdf#page=9","Abrir facsímil")</f>
        <v>Abrir facsímil</v>
      </c>
      <c r="K2335" s="15" t="s">
        <v>22</v>
      </c>
    </row>
    <row r="2336" spans="1:11" ht="42" customHeight="1">
      <c r="A2336" s="4" t="s">
        <v>5816</v>
      </c>
      <c r="B2336" s="5" t="s">
        <v>5817</v>
      </c>
      <c r="C2336" s="5" t="s">
        <v>27</v>
      </c>
      <c r="D2336" s="5" t="s">
        <v>28</v>
      </c>
      <c r="E2336" s="5" t="s">
        <v>484</v>
      </c>
      <c r="F2336" s="9">
        <v>53</v>
      </c>
      <c r="G2336" s="9">
        <v>590</v>
      </c>
      <c r="H2336" s="5" t="s">
        <v>20</v>
      </c>
      <c r="I2336" s="5" t="s">
        <v>5819</v>
      </c>
      <c r="J2336" s="12" t="str">
        <f>HYPERLINK("https://www.boe.es/gazeta/dias/1804/07/03/pdfs/GMD-1804-53.pdf#page=8","Abrir facsímil")</f>
        <v>Abrir facsímil</v>
      </c>
      <c r="K2336" s="15" t="s">
        <v>22</v>
      </c>
    </row>
    <row r="2337" spans="1:11" ht="42" customHeight="1">
      <c r="A2337" s="4" t="s">
        <v>5816</v>
      </c>
      <c r="B2337" s="5" t="s">
        <v>5817</v>
      </c>
      <c r="C2337" s="5" t="s">
        <v>27</v>
      </c>
      <c r="D2337" s="5" t="s">
        <v>28</v>
      </c>
      <c r="E2337" s="5" t="s">
        <v>241</v>
      </c>
      <c r="F2337" s="9">
        <v>71</v>
      </c>
      <c r="G2337" s="9">
        <v>791</v>
      </c>
      <c r="H2337" s="5" t="s">
        <v>20</v>
      </c>
      <c r="I2337" s="5" t="s">
        <v>5820</v>
      </c>
      <c r="J2337" s="12" t="str">
        <f>HYPERLINK("https://www.boe.es/gazeta/dias/1804/09/04/pdfs/GMD-1804-71.pdf#page=5","Abrir facsímil")</f>
        <v>Abrir facsímil</v>
      </c>
      <c r="K2337" s="15" t="s">
        <v>22</v>
      </c>
    </row>
    <row r="2338" spans="1:11" ht="42" customHeight="1">
      <c r="A2338" s="4" t="s">
        <v>5821</v>
      </c>
      <c r="B2338" s="5" t="s">
        <v>5822</v>
      </c>
      <c r="C2338" s="5" t="s">
        <v>27</v>
      </c>
      <c r="D2338" s="5" t="s">
        <v>28</v>
      </c>
      <c r="E2338" s="5" t="s">
        <v>178</v>
      </c>
      <c r="F2338" s="9">
        <v>20</v>
      </c>
      <c r="G2338" s="9">
        <v>220</v>
      </c>
      <c r="H2338" s="5" t="s">
        <v>20</v>
      </c>
      <c r="I2338" s="5" t="s">
        <v>5823</v>
      </c>
      <c r="J2338" s="12" t="str">
        <f>HYPERLINK("https://www.boe.es/gazeta/dias/1804/03/09/pdfs/GMD-1804-20.pdf#page=8","Abrir facsímil")</f>
        <v>Abrir facsímil</v>
      </c>
      <c r="K2338" s="15" t="s">
        <v>22</v>
      </c>
    </row>
    <row r="2339" spans="1:11" ht="42" customHeight="1">
      <c r="A2339" s="4" t="s">
        <v>5821</v>
      </c>
      <c r="B2339" s="5" t="s">
        <v>5822</v>
      </c>
      <c r="C2339" s="5" t="s">
        <v>27</v>
      </c>
      <c r="D2339" s="5" t="s">
        <v>28</v>
      </c>
      <c r="E2339" s="5" t="s">
        <v>199</v>
      </c>
      <c r="F2339" s="9">
        <v>46</v>
      </c>
      <c r="G2339" s="9">
        <v>512</v>
      </c>
      <c r="H2339" s="5" t="s">
        <v>20</v>
      </c>
      <c r="I2339" s="5" t="s">
        <v>5824</v>
      </c>
      <c r="J2339" s="12" t="str">
        <f>HYPERLINK("https://www.boe.es/gazeta/dias/1804/06/08/pdfs/GMD-1804-46.pdf#page=10","Abrir facsímil")</f>
        <v>Abrir facsímil</v>
      </c>
      <c r="K2339" s="15" t="s">
        <v>22</v>
      </c>
    </row>
    <row r="2340" spans="1:11" ht="42" customHeight="1">
      <c r="A2340" s="4" t="s">
        <v>5825</v>
      </c>
      <c r="B2340" s="5" t="s">
        <v>5826</v>
      </c>
      <c r="C2340" s="5" t="s">
        <v>27</v>
      </c>
      <c r="D2340" s="5" t="s">
        <v>28</v>
      </c>
      <c r="E2340" s="5" t="s">
        <v>272</v>
      </c>
      <c r="F2340" s="9">
        <v>30</v>
      </c>
      <c r="G2340" s="9">
        <v>332</v>
      </c>
      <c r="H2340" s="5" t="s">
        <v>20</v>
      </c>
      <c r="I2340" s="5" t="s">
        <v>5827</v>
      </c>
      <c r="J2340" s="12" t="str">
        <f>HYPERLINK("https://www.boe.es/gazeta/dias/1804/04/13/pdfs/GMD-1804-30.pdf#page=10","Abrir facsímil")</f>
        <v>Abrir facsímil</v>
      </c>
      <c r="K2340" s="15" t="s">
        <v>22</v>
      </c>
    </row>
    <row r="2341" spans="1:11" ht="42" customHeight="1">
      <c r="A2341" s="4" t="s">
        <v>5828</v>
      </c>
      <c r="B2341" s="5" t="s">
        <v>5829</v>
      </c>
      <c r="C2341" s="5" t="s">
        <v>198</v>
      </c>
      <c r="D2341" s="5" t="s">
        <v>66</v>
      </c>
      <c r="E2341" s="5" t="s">
        <v>226</v>
      </c>
      <c r="F2341" s="9">
        <v>17</v>
      </c>
      <c r="G2341" s="9">
        <v>187</v>
      </c>
      <c r="H2341" s="5" t="s">
        <v>20</v>
      </c>
      <c r="I2341" s="5" t="s">
        <v>5830</v>
      </c>
      <c r="J2341" s="12" t="str">
        <f>HYPERLINK("https://www.boe.es/gazeta/dias/1804/02/28/pdfs/GMD-1804-17.pdf#page=7","Abrir facsímil")</f>
        <v>Abrir facsímil</v>
      </c>
      <c r="K2341" s="15" t="s">
        <v>22</v>
      </c>
    </row>
    <row r="2342" spans="1:11" ht="42" customHeight="1">
      <c r="A2342" s="4" t="s">
        <v>5831</v>
      </c>
      <c r="B2342" s="5" t="s">
        <v>5832</v>
      </c>
      <c r="C2342" s="5" t="s">
        <v>65</v>
      </c>
      <c r="D2342" s="5" t="s">
        <v>66</v>
      </c>
      <c r="E2342" s="5" t="s">
        <v>709</v>
      </c>
      <c r="F2342" s="9">
        <v>82</v>
      </c>
      <c r="G2342" s="9">
        <v>906</v>
      </c>
      <c r="H2342" s="5" t="s">
        <v>20</v>
      </c>
      <c r="I2342" s="5" t="s">
        <v>5833</v>
      </c>
      <c r="J2342" s="12" t="str">
        <f>HYPERLINK("https://www.boe.es/gazeta/dias/1804/10/12/pdfs/GMD-1804-82.pdf#page=8","Abrir facsímil")</f>
        <v>Abrir facsímil</v>
      </c>
      <c r="K2342" s="15" t="s">
        <v>22</v>
      </c>
    </row>
    <row r="2343" spans="1:11" ht="42" customHeight="1">
      <c r="A2343" s="4" t="s">
        <v>5834</v>
      </c>
      <c r="B2343" s="5" t="s">
        <v>5835</v>
      </c>
      <c r="C2343" s="5" t="s">
        <v>85</v>
      </c>
      <c r="D2343" s="5" t="s">
        <v>86</v>
      </c>
      <c r="E2343" s="5" t="s">
        <v>709</v>
      </c>
      <c r="F2343" s="9">
        <v>82</v>
      </c>
      <c r="G2343" s="9">
        <v>910</v>
      </c>
      <c r="H2343" s="5" t="s">
        <v>20</v>
      </c>
      <c r="I2343" s="5" t="s">
        <v>5836</v>
      </c>
      <c r="J2343" s="12" t="str">
        <f>HYPERLINK("https://www.boe.es/gazeta/dias/1804/10/12/pdfs/GMD-1804-82.pdf#page=12","Abrir facsímil")</f>
        <v>Abrir facsímil</v>
      </c>
      <c r="K2343" s="15" t="s">
        <v>22</v>
      </c>
    </row>
    <row r="2344" spans="1:11" ht="42" customHeight="1">
      <c r="A2344" s="4" t="s">
        <v>5837</v>
      </c>
      <c r="B2344" s="5" t="s">
        <v>5838</v>
      </c>
      <c r="C2344" s="5" t="s">
        <v>65</v>
      </c>
      <c r="D2344" s="5" t="s">
        <v>66</v>
      </c>
      <c r="E2344" s="5" t="s">
        <v>484</v>
      </c>
      <c r="F2344" s="9">
        <v>53</v>
      </c>
      <c r="G2344" s="9">
        <v>590</v>
      </c>
      <c r="H2344" s="5" t="s">
        <v>20</v>
      </c>
      <c r="I2344" s="5" t="s">
        <v>5839</v>
      </c>
      <c r="J2344" s="12" t="str">
        <f>HYPERLINK("https://www.boe.es/gazeta/dias/1804/07/03/pdfs/GMD-1804-53.pdf#page=8","Abrir facsímil")</f>
        <v>Abrir facsímil</v>
      </c>
      <c r="K2344" s="15" t="s">
        <v>22</v>
      </c>
    </row>
    <row r="2345" spans="1:11" ht="42" customHeight="1">
      <c r="A2345" s="4" t="s">
        <v>5840</v>
      </c>
      <c r="B2345" s="5" t="s">
        <v>5841</v>
      </c>
      <c r="C2345" s="5" t="s">
        <v>27</v>
      </c>
      <c r="D2345" s="5" t="s">
        <v>28</v>
      </c>
      <c r="E2345" s="5" t="s">
        <v>857</v>
      </c>
      <c r="F2345" s="9">
        <v>28</v>
      </c>
      <c r="G2345" s="9">
        <v>308</v>
      </c>
      <c r="H2345" s="5" t="s">
        <v>20</v>
      </c>
      <c r="I2345" s="5" t="s">
        <v>5842</v>
      </c>
      <c r="J2345" s="12" t="str">
        <f>HYPERLINK("https://www.boe.es/gazeta/dias/1804/04/06/pdfs/GMD-1804-28.pdf#page=6","Abrir facsímil")</f>
        <v>Abrir facsímil</v>
      </c>
      <c r="K2345" s="15" t="s">
        <v>22</v>
      </c>
    </row>
    <row r="2346" spans="1:11" ht="42" customHeight="1">
      <c r="A2346" s="4" t="s">
        <v>5843</v>
      </c>
      <c r="B2346" s="5" t="s">
        <v>5844</v>
      </c>
      <c r="C2346" s="5" t="s">
        <v>120</v>
      </c>
      <c r="D2346" s="5" t="s">
        <v>121</v>
      </c>
      <c r="E2346" s="5" t="s">
        <v>33</v>
      </c>
      <c r="F2346" s="9">
        <v>48</v>
      </c>
      <c r="G2346" s="9" t="s">
        <v>122</v>
      </c>
      <c r="H2346" s="5" t="s">
        <v>20</v>
      </c>
      <c r="I2346" s="5" t="s">
        <v>5845</v>
      </c>
      <c r="J2346" s="12" t="str">
        <f>HYPERLINK("https://www.boe.es/gazeta/dias/1804/06/15/pdfs/GMD-C-1804-48.pdf#page=3","Abrir facsímil")</f>
        <v>Abrir facsímil</v>
      </c>
      <c r="K2346" s="15" t="s">
        <v>22</v>
      </c>
    </row>
    <row r="2347" spans="1:11" ht="42" customHeight="1">
      <c r="A2347" s="4" t="s">
        <v>5846</v>
      </c>
      <c r="B2347" s="5" t="s">
        <v>5847</v>
      </c>
      <c r="C2347" s="5" t="s">
        <v>65</v>
      </c>
      <c r="D2347" s="5" t="s">
        <v>66</v>
      </c>
      <c r="E2347" s="5" t="s">
        <v>800</v>
      </c>
      <c r="F2347" s="9">
        <v>45</v>
      </c>
      <c r="G2347" s="9">
        <v>501</v>
      </c>
      <c r="H2347" s="5" t="s">
        <v>20</v>
      </c>
      <c r="I2347" s="5" t="s">
        <v>5848</v>
      </c>
      <c r="J2347" s="12" t="str">
        <f>HYPERLINK("https://www.boe.es/gazeta/dias/1804/06/05/pdfs/GMD-1804-45.pdf#page=11","Abrir facsímil")</f>
        <v>Abrir facsímil</v>
      </c>
      <c r="K2347" s="15" t="s">
        <v>22</v>
      </c>
    </row>
    <row r="2348" spans="1:11" ht="42" customHeight="1">
      <c r="A2348" s="4" t="s">
        <v>5849</v>
      </c>
      <c r="B2348" s="5" t="s">
        <v>5850</v>
      </c>
      <c r="C2348" s="5" t="s">
        <v>17</v>
      </c>
      <c r="D2348" s="5" t="s">
        <v>18</v>
      </c>
      <c r="E2348" s="5" t="s">
        <v>272</v>
      </c>
      <c r="F2348" s="9">
        <v>30</v>
      </c>
      <c r="G2348" s="9">
        <v>330</v>
      </c>
      <c r="H2348" s="5" t="s">
        <v>20</v>
      </c>
      <c r="I2348" s="5" t="s">
        <v>5851</v>
      </c>
      <c r="J2348" s="12" t="str">
        <f>HYPERLINK("https://www.boe.es/gazeta/dias/1804/04/13/pdfs/GMD-1804-30.pdf#page=8","Abrir facsímil")</f>
        <v>Abrir facsímil</v>
      </c>
      <c r="K2348" s="15" t="s">
        <v>22</v>
      </c>
    </row>
    <row r="2349" spans="1:11" ht="42" customHeight="1">
      <c r="A2349" s="4" t="s">
        <v>5852</v>
      </c>
      <c r="B2349" s="5" t="s">
        <v>5853</v>
      </c>
      <c r="C2349" s="5" t="s">
        <v>65</v>
      </c>
      <c r="D2349" s="5" t="s">
        <v>66</v>
      </c>
      <c r="E2349" s="5" t="s">
        <v>800</v>
      </c>
      <c r="F2349" s="9">
        <v>45</v>
      </c>
      <c r="G2349" s="9">
        <v>501</v>
      </c>
      <c r="H2349" s="5" t="s">
        <v>20</v>
      </c>
      <c r="I2349" s="5" t="s">
        <v>5854</v>
      </c>
      <c r="J2349" s="12" t="str">
        <f>HYPERLINK("https://www.boe.es/gazeta/dias/1804/06/05/pdfs/GMD-1804-45.pdf#page=11","Abrir facsímil")</f>
        <v>Abrir facsímil</v>
      </c>
      <c r="K2349" s="15" t="s">
        <v>22</v>
      </c>
    </row>
    <row r="2350" spans="1:11" ht="42" customHeight="1">
      <c r="A2350" s="4" t="s">
        <v>5855</v>
      </c>
      <c r="B2350" s="5" t="s">
        <v>5855</v>
      </c>
      <c r="C2350" s="5" t="s">
        <v>57</v>
      </c>
      <c r="D2350" s="5" t="s">
        <v>58</v>
      </c>
      <c r="E2350" s="5" t="s">
        <v>526</v>
      </c>
      <c r="F2350" s="9">
        <v>95</v>
      </c>
      <c r="G2350" s="9">
        <v>1053</v>
      </c>
      <c r="H2350" s="5" t="s">
        <v>20</v>
      </c>
      <c r="I2350" s="5" t="s">
        <v>5856</v>
      </c>
      <c r="J2350" s="12" t="str">
        <f>HYPERLINK("https://www.boe.es/gazeta/dias/1804/11/27/pdfs/GMD-1804-95.pdf#page=5","Abrir facsímil")</f>
        <v>Abrir facsímil</v>
      </c>
      <c r="K2350" s="15" t="s">
        <v>22</v>
      </c>
    </row>
    <row r="2351" spans="1:11" ht="42" customHeight="1">
      <c r="A2351" s="4" t="s">
        <v>5857</v>
      </c>
      <c r="B2351" s="5" t="s">
        <v>5858</v>
      </c>
      <c r="C2351" s="5" t="s">
        <v>85</v>
      </c>
      <c r="D2351" s="5" t="s">
        <v>86</v>
      </c>
      <c r="E2351" s="5" t="s">
        <v>241</v>
      </c>
      <c r="F2351" s="9">
        <v>71</v>
      </c>
      <c r="G2351" s="9">
        <v>794</v>
      </c>
      <c r="H2351" s="5" t="s">
        <v>20</v>
      </c>
      <c r="I2351" s="5" t="s">
        <v>5859</v>
      </c>
      <c r="J2351" s="12" t="str">
        <f>HYPERLINK("https://www.boe.es/gazeta/dias/1804/09/04/pdfs/GMD-1804-71.pdf#page=8","Abrir facsímil")</f>
        <v>Abrir facsímil</v>
      </c>
      <c r="K2351" s="15" t="s">
        <v>22</v>
      </c>
    </row>
    <row r="2352" spans="1:11" ht="42" customHeight="1">
      <c r="A2352" s="4" t="s">
        <v>5860</v>
      </c>
      <c r="B2352" s="5" t="s">
        <v>5861</v>
      </c>
      <c r="C2352" s="5" t="s">
        <v>27</v>
      </c>
      <c r="D2352" s="5" t="s">
        <v>28</v>
      </c>
      <c r="E2352" s="5" t="s">
        <v>199</v>
      </c>
      <c r="F2352" s="9">
        <v>46</v>
      </c>
      <c r="G2352" s="9">
        <v>512</v>
      </c>
      <c r="H2352" s="5" t="s">
        <v>20</v>
      </c>
      <c r="I2352" s="5" t="s">
        <v>5862</v>
      </c>
      <c r="J2352" s="12" t="str">
        <f>HYPERLINK("https://www.boe.es/gazeta/dias/1804/06/08/pdfs/GMD-1804-46.pdf#page=10","Abrir facsímil")</f>
        <v>Abrir facsímil</v>
      </c>
      <c r="K2352" s="15" t="s">
        <v>22</v>
      </c>
    </row>
    <row r="2353" spans="1:11" ht="42" customHeight="1">
      <c r="A2353" s="4" t="s">
        <v>5863</v>
      </c>
      <c r="B2353" s="5" t="s">
        <v>5864</v>
      </c>
      <c r="C2353" s="5" t="s">
        <v>85</v>
      </c>
      <c r="D2353" s="5" t="s">
        <v>86</v>
      </c>
      <c r="E2353" s="5" t="s">
        <v>857</v>
      </c>
      <c r="F2353" s="9">
        <v>28</v>
      </c>
      <c r="G2353" s="9">
        <v>310</v>
      </c>
      <c r="H2353" s="5" t="s">
        <v>20</v>
      </c>
      <c r="I2353" s="5" t="s">
        <v>5865</v>
      </c>
      <c r="J2353" s="12" t="str">
        <f>HYPERLINK("https://www.boe.es/gazeta/dias/1804/04/06/pdfs/GMD-1804-28.pdf#page=8","Abrir facsímil")</f>
        <v>Abrir facsímil</v>
      </c>
      <c r="K2353" s="15" t="s">
        <v>22</v>
      </c>
    </row>
    <row r="2354" spans="1:11" ht="42" customHeight="1">
      <c r="A2354" s="4" t="s">
        <v>5866</v>
      </c>
      <c r="B2354" s="5" t="s">
        <v>5867</v>
      </c>
      <c r="C2354" s="5" t="s">
        <v>27</v>
      </c>
      <c r="D2354" s="5" t="s">
        <v>28</v>
      </c>
      <c r="E2354" s="5" t="s">
        <v>388</v>
      </c>
      <c r="F2354" s="9">
        <v>18</v>
      </c>
      <c r="G2354" s="9">
        <v>198</v>
      </c>
      <c r="H2354" s="5" t="s">
        <v>20</v>
      </c>
      <c r="I2354" s="5" t="s">
        <v>5868</v>
      </c>
      <c r="J2354" s="12" t="str">
        <f>HYPERLINK("https://www.boe.es/gazeta/dias/1804/03/02/pdfs/GMD-1804-18.pdf#page=10","Abrir facsímil")</f>
        <v>Abrir facsímil</v>
      </c>
      <c r="K2354" s="15" t="s">
        <v>22</v>
      </c>
    </row>
    <row r="2355" spans="1:11" ht="42" customHeight="1">
      <c r="A2355" s="4" t="s">
        <v>5869</v>
      </c>
      <c r="B2355" s="5" t="s">
        <v>5870</v>
      </c>
      <c r="C2355" s="5" t="s">
        <v>27</v>
      </c>
      <c r="D2355" s="5" t="s">
        <v>28</v>
      </c>
      <c r="E2355" s="5" t="s">
        <v>206</v>
      </c>
      <c r="F2355" s="9">
        <v>44</v>
      </c>
      <c r="G2355" s="9">
        <v>489</v>
      </c>
      <c r="H2355" s="5" t="s">
        <v>20</v>
      </c>
      <c r="I2355" s="5" t="s">
        <v>5871</v>
      </c>
      <c r="J2355" s="12" t="str">
        <f>HYPERLINK("https://www.boe.es/gazeta/dias/1804/06/01/pdfs/GMD-1804-44.pdf#page=7","Abrir facsímil")</f>
        <v>Abrir facsímil</v>
      </c>
      <c r="K2355" s="15" t="s">
        <v>22</v>
      </c>
    </row>
    <row r="2356" spans="1:11" ht="42" customHeight="1">
      <c r="A2356" s="4" t="s">
        <v>5872</v>
      </c>
      <c r="B2356" s="5" t="s">
        <v>5873</v>
      </c>
      <c r="C2356" s="5" t="s">
        <v>27</v>
      </c>
      <c r="D2356" s="5" t="s">
        <v>28</v>
      </c>
      <c r="E2356" s="5" t="s">
        <v>272</v>
      </c>
      <c r="F2356" s="9">
        <v>30</v>
      </c>
      <c r="G2356" s="9">
        <v>332</v>
      </c>
      <c r="H2356" s="5" t="s">
        <v>20</v>
      </c>
      <c r="I2356" s="5" t="s">
        <v>5874</v>
      </c>
      <c r="J2356" s="12" t="str">
        <f>HYPERLINK("https://www.boe.es/gazeta/dias/1804/04/13/pdfs/GMD-1804-30.pdf#page=10","Abrir facsímil")</f>
        <v>Abrir facsímil</v>
      </c>
      <c r="K2356" s="15" t="s">
        <v>22</v>
      </c>
    </row>
    <row r="2357" spans="1:11" ht="42" customHeight="1">
      <c r="A2357" s="4" t="s">
        <v>5875</v>
      </c>
      <c r="B2357" s="5" t="s">
        <v>5876</v>
      </c>
      <c r="C2357" s="5" t="s">
        <v>17</v>
      </c>
      <c r="D2357" s="5" t="s">
        <v>18</v>
      </c>
      <c r="E2357" s="5" t="s">
        <v>526</v>
      </c>
      <c r="F2357" s="9">
        <v>95</v>
      </c>
      <c r="G2357" s="9">
        <v>1055</v>
      </c>
      <c r="H2357" s="5" t="s">
        <v>20</v>
      </c>
      <c r="I2357" s="5" t="s">
        <v>5877</v>
      </c>
      <c r="J2357" s="12" t="str">
        <f>HYPERLINK("https://www.boe.es/gazeta/dias/1804/11/27/pdfs/GMD-1804-95.pdf#page=7","Abrir facsímil")</f>
        <v>Abrir facsímil</v>
      </c>
      <c r="K2357" s="15" t="s">
        <v>22</v>
      </c>
    </row>
    <row r="2358" spans="1:11" ht="42" customHeight="1">
      <c r="A2358" s="4" t="s">
        <v>5878</v>
      </c>
      <c r="B2358" s="5" t="s">
        <v>5879</v>
      </c>
      <c r="C2358" s="5" t="s">
        <v>27</v>
      </c>
      <c r="D2358" s="5" t="s">
        <v>28</v>
      </c>
      <c r="E2358" s="5" t="s">
        <v>857</v>
      </c>
      <c r="F2358" s="9">
        <v>28</v>
      </c>
      <c r="G2358" s="9">
        <v>308</v>
      </c>
      <c r="H2358" s="5" t="s">
        <v>20</v>
      </c>
      <c r="I2358" s="5" t="s">
        <v>5880</v>
      </c>
      <c r="J2358" s="12" t="str">
        <f>HYPERLINK("https://www.boe.es/gazeta/dias/1804/04/06/pdfs/GMD-1804-28.pdf#page=6","Abrir facsímil")</f>
        <v>Abrir facsímil</v>
      </c>
      <c r="K2358" s="15" t="s">
        <v>22</v>
      </c>
    </row>
    <row r="2359" spans="1:11" ht="42" customHeight="1">
      <c r="A2359" s="4" t="s">
        <v>5881</v>
      </c>
      <c r="B2359" s="5" t="s">
        <v>5882</v>
      </c>
      <c r="C2359" s="5" t="s">
        <v>27</v>
      </c>
      <c r="D2359" s="5" t="s">
        <v>28</v>
      </c>
      <c r="E2359" s="5" t="s">
        <v>479</v>
      </c>
      <c r="F2359" s="9">
        <v>5</v>
      </c>
      <c r="G2359" s="9">
        <v>47</v>
      </c>
      <c r="H2359" s="5" t="s">
        <v>20</v>
      </c>
      <c r="I2359" s="5" t="s">
        <v>5883</v>
      </c>
      <c r="J2359" s="12" t="str">
        <f>HYPERLINK("https://www.boe.es/gazeta/dias/1804/01/17/pdfs/GMD-1804-5.pdf#page=7","Abrir facsímil")</f>
        <v>Abrir facsímil</v>
      </c>
      <c r="K2359" s="15" t="s">
        <v>22</v>
      </c>
    </row>
    <row r="2360" spans="1:11" ht="42" customHeight="1">
      <c r="A2360" s="4" t="s">
        <v>5884</v>
      </c>
      <c r="B2360" s="5" t="s">
        <v>5885</v>
      </c>
      <c r="C2360" s="5" t="s">
        <v>57</v>
      </c>
      <c r="D2360" s="5" t="s">
        <v>58</v>
      </c>
      <c r="E2360" s="5" t="s">
        <v>637</v>
      </c>
      <c r="F2360" s="9">
        <v>74</v>
      </c>
      <c r="G2360" s="9">
        <v>826</v>
      </c>
      <c r="H2360" s="5" t="s">
        <v>20</v>
      </c>
      <c r="I2360" s="5" t="s">
        <v>5886</v>
      </c>
      <c r="J2360" s="12" t="str">
        <f>HYPERLINK("https://www.boe.es/gazeta/dias/1804/09/14/pdfs/GMD-1804-74.pdf#page=4","Abrir facsímil")</f>
        <v>Abrir facsímil</v>
      </c>
      <c r="K2360" s="15" t="s">
        <v>22</v>
      </c>
    </row>
    <row r="2361" spans="1:11" ht="42" customHeight="1">
      <c r="A2361" s="4" t="s">
        <v>5884</v>
      </c>
      <c r="B2361" s="5" t="s">
        <v>5885</v>
      </c>
      <c r="C2361" s="5" t="s">
        <v>57</v>
      </c>
      <c r="D2361" s="5" t="s">
        <v>58</v>
      </c>
      <c r="E2361" s="5" t="s">
        <v>466</v>
      </c>
      <c r="F2361" s="9">
        <v>76</v>
      </c>
      <c r="G2361" s="9">
        <v>845</v>
      </c>
      <c r="H2361" s="5" t="s">
        <v>20</v>
      </c>
      <c r="I2361" s="5" t="s">
        <v>5887</v>
      </c>
      <c r="J2361" s="12" t="str">
        <f>HYPERLINK("https://www.boe.es/gazeta/dias/1804/09/21/pdfs/GMD-1804-76.pdf#page=3","Abrir facsímil")</f>
        <v>Abrir facsímil</v>
      </c>
      <c r="K2361" s="15" t="s">
        <v>22</v>
      </c>
    </row>
    <row r="2362" spans="1:11" ht="42" customHeight="1">
      <c r="A2362" s="4" t="s">
        <v>5888</v>
      </c>
      <c r="B2362" s="5" t="s">
        <v>5889</v>
      </c>
      <c r="C2362" s="5" t="s">
        <v>17</v>
      </c>
      <c r="D2362" s="5" t="s">
        <v>18</v>
      </c>
      <c r="E2362" s="5" t="s">
        <v>50</v>
      </c>
      <c r="F2362" s="9">
        <v>93</v>
      </c>
      <c r="G2362" s="9">
        <v>1030</v>
      </c>
      <c r="H2362" s="5" t="s">
        <v>20</v>
      </c>
      <c r="I2362" s="5" t="s">
        <v>5890</v>
      </c>
      <c r="J2362" s="12" t="str">
        <f>HYPERLINK("https://www.boe.es/gazeta/dias/1804/11/20/pdfs/GMD-1804-93.pdf#page=6","Abrir facsímil")</f>
        <v>Abrir facsímil</v>
      </c>
      <c r="K2362" s="15" t="s">
        <v>22</v>
      </c>
    </row>
    <row r="2363" spans="1:11" ht="42" customHeight="1">
      <c r="A2363" s="4" t="s">
        <v>5891</v>
      </c>
      <c r="B2363" s="5" t="s">
        <v>5891</v>
      </c>
      <c r="C2363" s="5" t="s">
        <v>85</v>
      </c>
      <c r="D2363" s="5" t="s">
        <v>86</v>
      </c>
      <c r="E2363" s="5" t="s">
        <v>453</v>
      </c>
      <c r="F2363" s="9">
        <v>33</v>
      </c>
      <c r="G2363" s="9">
        <v>364</v>
      </c>
      <c r="H2363" s="5" t="s">
        <v>20</v>
      </c>
      <c r="I2363" s="5" t="s">
        <v>5892</v>
      </c>
      <c r="J2363" s="12" t="str">
        <f>HYPERLINK("https://www.boe.es/gazeta/dias/1804/04/24/pdfs/GMD-1804-33.pdf#page=6","Abrir facsímil")</f>
        <v>Abrir facsímil</v>
      </c>
      <c r="K2363" s="15" t="s">
        <v>22</v>
      </c>
    </row>
    <row r="2364" spans="1:11" ht="42" customHeight="1">
      <c r="A2364" s="4" t="s">
        <v>5893</v>
      </c>
      <c r="B2364" s="5" t="s">
        <v>5893</v>
      </c>
      <c r="C2364" s="5" t="s">
        <v>17</v>
      </c>
      <c r="D2364" s="5" t="s">
        <v>18</v>
      </c>
      <c r="E2364" s="5" t="s">
        <v>109</v>
      </c>
      <c r="F2364" s="9">
        <v>35</v>
      </c>
      <c r="G2364" s="9">
        <v>383</v>
      </c>
      <c r="H2364" s="5" t="s">
        <v>20</v>
      </c>
      <c r="I2364" s="5" t="s">
        <v>5894</v>
      </c>
      <c r="J2364" s="12" t="str">
        <f>HYPERLINK("https://www.boe.es/gazeta/dias/1804/05/01/pdfs/GMD-1804-35.pdf#page=5","Abrir facsímil")</f>
        <v>Abrir facsímil</v>
      </c>
      <c r="K2364" s="15" t="s">
        <v>22</v>
      </c>
    </row>
    <row r="2365" spans="1:11" ht="42" customHeight="1">
      <c r="A2365" s="4" t="s">
        <v>5895</v>
      </c>
      <c r="B2365" s="5" t="s">
        <v>5895</v>
      </c>
      <c r="C2365" s="5" t="s">
        <v>17</v>
      </c>
      <c r="D2365" s="5" t="s">
        <v>18</v>
      </c>
      <c r="E2365" s="5" t="s">
        <v>272</v>
      </c>
      <c r="F2365" s="9">
        <v>30</v>
      </c>
      <c r="G2365" s="9">
        <v>330</v>
      </c>
      <c r="H2365" s="5" t="s">
        <v>20</v>
      </c>
      <c r="I2365" s="5" t="s">
        <v>5896</v>
      </c>
      <c r="J2365" s="12" t="str">
        <f>HYPERLINK("https://www.boe.es/gazeta/dias/1804/04/13/pdfs/GMD-1804-30.pdf#page=8","Abrir facsímil")</f>
        <v>Abrir facsímil</v>
      </c>
      <c r="K2365" s="15" t="s">
        <v>22</v>
      </c>
    </row>
    <row r="2366" spans="1:11" ht="42" customHeight="1">
      <c r="A2366" s="4" t="s">
        <v>5895</v>
      </c>
      <c r="B2366" s="5" t="s">
        <v>5895</v>
      </c>
      <c r="C2366" s="5" t="s">
        <v>17</v>
      </c>
      <c r="D2366" s="5" t="s">
        <v>18</v>
      </c>
      <c r="E2366" s="5" t="s">
        <v>547</v>
      </c>
      <c r="F2366" s="9">
        <v>68</v>
      </c>
      <c r="G2366" s="9">
        <v>764</v>
      </c>
      <c r="H2366" s="5" t="s">
        <v>20</v>
      </c>
      <c r="I2366" s="5" t="s">
        <v>5897</v>
      </c>
      <c r="J2366" s="12" t="str">
        <f>HYPERLINK("https://www.boe.es/gazeta/dias/1804/08/24/pdfs/GMD-1804-68.pdf#page=10","Abrir facsímil")</f>
        <v>Abrir facsímil</v>
      </c>
      <c r="K2366" s="15" t="s">
        <v>22</v>
      </c>
    </row>
    <row r="2367" spans="1:11" ht="42" customHeight="1">
      <c r="A2367" s="4" t="s">
        <v>5898</v>
      </c>
      <c r="B2367" s="5" t="s">
        <v>5898</v>
      </c>
      <c r="C2367" s="5" t="s">
        <v>85</v>
      </c>
      <c r="D2367" s="5" t="s">
        <v>86</v>
      </c>
      <c r="E2367" s="5" t="s">
        <v>212</v>
      </c>
      <c r="F2367" s="9">
        <v>89</v>
      </c>
      <c r="G2367" s="9">
        <v>992</v>
      </c>
      <c r="H2367" s="5" t="s">
        <v>20</v>
      </c>
      <c r="I2367" s="5" t="s">
        <v>5899</v>
      </c>
      <c r="J2367" s="12" t="str">
        <f>HYPERLINK("https://www.boe.es/gazeta/dias/1804/11/06/pdfs/GMD-1804-89.pdf#page=12","Abrir facsímil")</f>
        <v>Abrir facsímil</v>
      </c>
      <c r="K2367" s="15" t="s">
        <v>22</v>
      </c>
    </row>
    <row r="2368" spans="1:11" ht="42" customHeight="1">
      <c r="A2368" s="4" t="s">
        <v>5900</v>
      </c>
      <c r="B2368" s="5" t="s">
        <v>5901</v>
      </c>
      <c r="C2368" s="5" t="s">
        <v>57</v>
      </c>
      <c r="D2368" s="5" t="s">
        <v>58</v>
      </c>
      <c r="E2368" s="5" t="s">
        <v>511</v>
      </c>
      <c r="F2368" s="9">
        <v>12</v>
      </c>
      <c r="G2368" s="9">
        <v>127</v>
      </c>
      <c r="H2368" s="5" t="s">
        <v>20</v>
      </c>
      <c r="I2368" s="5" t="s">
        <v>5902</v>
      </c>
      <c r="J2368" s="12" t="str">
        <f>HYPERLINK("https://www.boe.es/gazeta/dias/1804/02/10/pdfs/GMD-1804-12.pdf#page=3","Abrir facsímil")</f>
        <v>Abrir facsímil</v>
      </c>
      <c r="K2368" s="15" t="s">
        <v>22</v>
      </c>
    </row>
    <row r="2369" spans="1:11" ht="42" customHeight="1">
      <c r="A2369" s="4" t="s">
        <v>5900</v>
      </c>
      <c r="B2369" s="5" t="s">
        <v>5901</v>
      </c>
      <c r="C2369" s="5" t="s">
        <v>27</v>
      </c>
      <c r="D2369" s="5" t="s">
        <v>28</v>
      </c>
      <c r="E2369" s="5" t="s">
        <v>97</v>
      </c>
      <c r="F2369" s="9">
        <v>50</v>
      </c>
      <c r="G2369" s="9">
        <v>550</v>
      </c>
      <c r="H2369" s="5" t="s">
        <v>20</v>
      </c>
      <c r="I2369" s="5" t="s">
        <v>5903</v>
      </c>
      <c r="J2369" s="12" t="str">
        <f>HYPERLINK("https://www.boe.es/gazeta/dias/1804/06/22/pdfs/GMD-1804-50.pdf#page=4","Abrir facsímil")</f>
        <v>Abrir facsímil</v>
      </c>
      <c r="K2369" s="15" t="s">
        <v>22</v>
      </c>
    </row>
    <row r="2370" spans="1:11" ht="42" customHeight="1">
      <c r="A2370" s="4" t="s">
        <v>5904</v>
      </c>
      <c r="B2370" s="5" t="s">
        <v>5905</v>
      </c>
      <c r="C2370" s="5" t="s">
        <v>27</v>
      </c>
      <c r="D2370" s="5" t="s">
        <v>28</v>
      </c>
      <c r="E2370" s="5" t="s">
        <v>234</v>
      </c>
      <c r="F2370" s="9">
        <v>86</v>
      </c>
      <c r="G2370" s="9">
        <v>948</v>
      </c>
      <c r="H2370" s="5" t="s">
        <v>20</v>
      </c>
      <c r="I2370" s="5" t="s">
        <v>5906</v>
      </c>
      <c r="J2370" s="12" t="str">
        <f>HYPERLINK("https://www.boe.es/gazeta/dias/1804/10/26/pdfs/GMD-1804-86.pdf#page=6","Abrir facsímil")</f>
        <v>Abrir facsímil</v>
      </c>
      <c r="K2370" s="15" t="s">
        <v>22</v>
      </c>
    </row>
    <row r="2371" spans="1:11" ht="42" customHeight="1">
      <c r="A2371" s="4" t="s">
        <v>5907</v>
      </c>
      <c r="B2371" s="5" t="s">
        <v>5907</v>
      </c>
      <c r="C2371" s="5" t="s">
        <v>27</v>
      </c>
      <c r="D2371" s="5" t="s">
        <v>28</v>
      </c>
      <c r="E2371" s="5" t="s">
        <v>106</v>
      </c>
      <c r="F2371" s="9">
        <v>34</v>
      </c>
      <c r="G2371" s="9">
        <v>373</v>
      </c>
      <c r="H2371" s="5" t="s">
        <v>20</v>
      </c>
      <c r="I2371" s="5" t="s">
        <v>5908</v>
      </c>
      <c r="J2371" s="12" t="str">
        <f>HYPERLINK("https://www.boe.es/gazeta/dias/1804/04/27/pdfs/GMD-1804-34.pdf#page=3","Abrir facsímil")</f>
        <v>Abrir facsímil</v>
      </c>
      <c r="K2371" s="15" t="s">
        <v>22</v>
      </c>
    </row>
    <row r="2372" spans="1:11" ht="42" customHeight="1">
      <c r="A2372" s="4" t="s">
        <v>5907</v>
      </c>
      <c r="B2372" s="5" t="s">
        <v>5907</v>
      </c>
      <c r="C2372" s="5" t="s">
        <v>198</v>
      </c>
      <c r="D2372" s="5" t="s">
        <v>66</v>
      </c>
      <c r="E2372" s="5" t="s">
        <v>54</v>
      </c>
      <c r="F2372" s="9">
        <v>63</v>
      </c>
      <c r="G2372" s="9">
        <v>696</v>
      </c>
      <c r="H2372" s="5" t="s">
        <v>20</v>
      </c>
      <c r="I2372" s="5" t="s">
        <v>5909</v>
      </c>
      <c r="J2372" s="12" t="str">
        <f>HYPERLINK("https://www.boe.es/gazeta/dias/1804/08/07/pdfs/GMD-1804-63.pdf#page=6","Abrir facsímil")</f>
        <v>Abrir facsímil</v>
      </c>
      <c r="K2372" s="15" t="s">
        <v>22</v>
      </c>
    </row>
    <row r="2373" spans="1:11" ht="42" customHeight="1">
      <c r="A2373" s="4" t="s">
        <v>5910</v>
      </c>
      <c r="B2373" s="5" t="s">
        <v>5910</v>
      </c>
      <c r="C2373" s="5" t="s">
        <v>27</v>
      </c>
      <c r="D2373" s="5" t="s">
        <v>28</v>
      </c>
      <c r="E2373" s="5" t="s">
        <v>222</v>
      </c>
      <c r="F2373" s="9">
        <v>4</v>
      </c>
      <c r="G2373" s="9">
        <v>38</v>
      </c>
      <c r="H2373" s="5" t="s">
        <v>20</v>
      </c>
      <c r="I2373" s="5" t="s">
        <v>5911</v>
      </c>
      <c r="J2373" s="12" t="str">
        <f>HYPERLINK("https://www.boe.es/gazeta/dias/1804/01/13/pdfs/GMD-1804-4.pdf#page=10","Abrir facsímil")</f>
        <v>Abrir facsímil</v>
      </c>
      <c r="K2373" s="15" t="s">
        <v>22</v>
      </c>
    </row>
    <row r="2374" spans="1:11" ht="42" customHeight="1">
      <c r="A2374" s="4" t="s">
        <v>5912</v>
      </c>
      <c r="B2374" s="5" t="s">
        <v>5913</v>
      </c>
      <c r="C2374" s="5" t="s">
        <v>57</v>
      </c>
      <c r="D2374" s="5" t="s">
        <v>58</v>
      </c>
      <c r="E2374" s="5" t="s">
        <v>699</v>
      </c>
      <c r="F2374" s="9">
        <v>2</v>
      </c>
      <c r="G2374" s="9">
        <v>16</v>
      </c>
      <c r="H2374" s="5" t="s">
        <v>20</v>
      </c>
      <c r="I2374" s="5" t="s">
        <v>5914</v>
      </c>
      <c r="J2374" s="12" t="str">
        <f>HYPERLINK("https://www.boe.es/gazeta/dias/1804/01/06/pdfs/GMD-1804-2.pdf#page=4","Abrir facsímil")</f>
        <v>Abrir facsímil</v>
      </c>
      <c r="K2374" s="15" t="s">
        <v>22</v>
      </c>
    </row>
    <row r="2375" spans="1:11" ht="42" customHeight="1">
      <c r="A2375" s="4" t="s">
        <v>5915</v>
      </c>
      <c r="B2375" s="5" t="s">
        <v>5916</v>
      </c>
      <c r="C2375" s="5" t="s">
        <v>27</v>
      </c>
      <c r="D2375" s="5" t="s">
        <v>28</v>
      </c>
      <c r="E2375" s="5" t="s">
        <v>191</v>
      </c>
      <c r="F2375" s="9">
        <v>101</v>
      </c>
      <c r="G2375" s="9">
        <v>1129</v>
      </c>
      <c r="H2375" s="5" t="s">
        <v>20</v>
      </c>
      <c r="I2375" s="5" t="s">
        <v>5917</v>
      </c>
      <c r="J2375" s="12" t="str">
        <f>HYPERLINK("https://www.boe.es/gazeta/dias/1804/12/18/pdfs/GMD-1804-101.pdf#page=9","Abrir facsímil")</f>
        <v>Abrir facsímil</v>
      </c>
      <c r="K2375" s="15" t="s">
        <v>22</v>
      </c>
    </row>
    <row r="2376" spans="1:11" ht="42" customHeight="1">
      <c r="A2376" s="4" t="s">
        <v>5918</v>
      </c>
      <c r="B2376" s="5" t="s">
        <v>5919</v>
      </c>
      <c r="C2376" s="5" t="s">
        <v>27</v>
      </c>
      <c r="D2376" s="5" t="s">
        <v>28</v>
      </c>
      <c r="E2376" s="5" t="s">
        <v>67</v>
      </c>
      <c r="F2376" s="9">
        <v>59</v>
      </c>
      <c r="G2376" s="9">
        <v>652</v>
      </c>
      <c r="H2376" s="5" t="s">
        <v>20</v>
      </c>
      <c r="I2376" s="5" t="s">
        <v>5920</v>
      </c>
      <c r="J2376" s="12" t="str">
        <f>HYPERLINK("https://www.boe.es/gazeta/dias/1804/07/24/pdfs/GMD-1804-59.pdf#page=6","Abrir facsímil")</f>
        <v>Abrir facsímil</v>
      </c>
      <c r="K2376" s="15" t="s">
        <v>22</v>
      </c>
    </row>
    <row r="2377" spans="1:11" ht="42" customHeight="1">
      <c r="A2377" s="4" t="s">
        <v>5921</v>
      </c>
      <c r="B2377" s="5" t="s">
        <v>5922</v>
      </c>
      <c r="C2377" s="5" t="s">
        <v>17</v>
      </c>
      <c r="D2377" s="5" t="s">
        <v>18</v>
      </c>
      <c r="E2377" s="5" t="s">
        <v>354</v>
      </c>
      <c r="F2377" s="9">
        <v>1</v>
      </c>
      <c r="G2377" s="9">
        <v>4</v>
      </c>
      <c r="H2377" s="5" t="s">
        <v>20</v>
      </c>
      <c r="I2377" s="5" t="s">
        <v>5923</v>
      </c>
      <c r="J2377" s="12" t="str">
        <f>HYPERLINK("https://www.boe.es/gazeta/dias/1804/01/03/pdfs/GMD-1804-1.pdf#page=4","Abrir facsímil")</f>
        <v>Abrir facsímil</v>
      </c>
      <c r="K2377" s="15" t="s">
        <v>22</v>
      </c>
    </row>
    <row r="2378" spans="1:11" ht="42" customHeight="1">
      <c r="A2378" s="4" t="s">
        <v>5924</v>
      </c>
      <c r="B2378" s="5" t="s">
        <v>5925</v>
      </c>
      <c r="C2378" s="5" t="s">
        <v>27</v>
      </c>
      <c r="D2378" s="5" t="s">
        <v>28</v>
      </c>
      <c r="E2378" s="5" t="s">
        <v>350</v>
      </c>
      <c r="F2378" s="9">
        <v>19</v>
      </c>
      <c r="G2378" s="9">
        <v>204</v>
      </c>
      <c r="H2378" s="5" t="s">
        <v>20</v>
      </c>
      <c r="I2378" s="5" t="s">
        <v>5926</v>
      </c>
      <c r="J2378" s="12" t="str">
        <f>HYPERLINK("https://www.boe.es/gazeta/dias/1804/03/06/pdfs/GMD-1804-19.pdf#page=4","Abrir facsímil")</f>
        <v>Abrir facsímil</v>
      </c>
      <c r="K2378" s="15" t="s">
        <v>22</v>
      </c>
    </row>
    <row r="2379" spans="1:11" ht="42" customHeight="1">
      <c r="A2379" s="4" t="s">
        <v>5927</v>
      </c>
      <c r="B2379" s="5" t="s">
        <v>5927</v>
      </c>
      <c r="C2379" s="5" t="s">
        <v>27</v>
      </c>
      <c r="D2379" s="5" t="s">
        <v>28</v>
      </c>
      <c r="E2379" s="5" t="s">
        <v>736</v>
      </c>
      <c r="F2379" s="9">
        <v>83</v>
      </c>
      <c r="G2379" s="9" t="s">
        <v>819</v>
      </c>
      <c r="H2379" s="5" t="s">
        <v>20</v>
      </c>
      <c r="I2379" s="5" t="s">
        <v>5928</v>
      </c>
      <c r="J2379" s="12" t="str">
        <f>HYPERLINK("https://www.boe.es/gazeta/dias/1804/10/16/pdfs/GMD-C-1804-83.pdf#page=4","Abrir facsímil")</f>
        <v>Abrir facsímil</v>
      </c>
      <c r="K2379" s="15" t="s">
        <v>22</v>
      </c>
    </row>
    <row r="2380" spans="1:11" ht="42" customHeight="1">
      <c r="A2380" s="4" t="s">
        <v>5929</v>
      </c>
      <c r="B2380" s="5" t="s">
        <v>5930</v>
      </c>
      <c r="C2380" s="5" t="s">
        <v>262</v>
      </c>
      <c r="D2380" s="5" t="s">
        <v>263</v>
      </c>
      <c r="E2380" s="5" t="s">
        <v>736</v>
      </c>
      <c r="F2380" s="9">
        <v>83</v>
      </c>
      <c r="G2380" s="9" t="s">
        <v>98</v>
      </c>
      <c r="H2380" s="5" t="s">
        <v>20</v>
      </c>
      <c r="I2380" s="5" t="s">
        <v>5931</v>
      </c>
      <c r="J2380" s="12" t="str">
        <f>HYPERLINK("https://www.boe.es/gazeta/dias/1804/10/16/pdfs/GMD-C-1804-83.pdf#page=1","Abrir facsímil")</f>
        <v>Abrir facsímil</v>
      </c>
      <c r="K2380" s="15" t="s">
        <v>22</v>
      </c>
    </row>
    <row r="2381" spans="1:11" ht="42" customHeight="1">
      <c r="A2381" s="4" t="s">
        <v>5932</v>
      </c>
      <c r="B2381" s="5" t="s">
        <v>5933</v>
      </c>
      <c r="C2381" s="5" t="s">
        <v>17</v>
      </c>
      <c r="D2381" s="5" t="s">
        <v>18</v>
      </c>
      <c r="E2381" s="5" t="s">
        <v>199</v>
      </c>
      <c r="F2381" s="9">
        <v>46</v>
      </c>
      <c r="G2381" s="9">
        <v>514</v>
      </c>
      <c r="H2381" s="5" t="s">
        <v>20</v>
      </c>
      <c r="I2381" s="5" t="s">
        <v>5934</v>
      </c>
      <c r="J2381" s="12" t="str">
        <f>HYPERLINK("https://www.boe.es/gazeta/dias/1804/06/08/pdfs/GMD-1804-46.pdf#page=12","Abrir facsímil")</f>
        <v>Abrir facsímil</v>
      </c>
      <c r="K2381" s="15" t="s">
        <v>22</v>
      </c>
    </row>
    <row r="2382" spans="1:11" ht="42" customHeight="1">
      <c r="A2382" s="4" t="s">
        <v>5935</v>
      </c>
      <c r="B2382" s="5" t="s">
        <v>5936</v>
      </c>
      <c r="C2382" s="5" t="s">
        <v>65</v>
      </c>
      <c r="D2382" s="5" t="s">
        <v>66</v>
      </c>
      <c r="E2382" s="5" t="s">
        <v>91</v>
      </c>
      <c r="F2382" s="9">
        <v>72</v>
      </c>
      <c r="G2382" s="9">
        <v>809</v>
      </c>
      <c r="H2382" s="5" t="s">
        <v>20</v>
      </c>
      <c r="I2382" s="5" t="s">
        <v>5937</v>
      </c>
      <c r="J2382" s="12" t="str">
        <f>HYPERLINK("https://www.boe.es/gazeta/dias/1804/09/07/pdfs/GMD-1804-72.pdf#page=11","Abrir facsímil")</f>
        <v>Abrir facsímil</v>
      </c>
      <c r="K2382" s="15" t="s">
        <v>22</v>
      </c>
    </row>
    <row r="2383" spans="1:11" ht="42" customHeight="1">
      <c r="A2383" s="4" t="s">
        <v>5938</v>
      </c>
      <c r="B2383" s="5" t="s">
        <v>5939</v>
      </c>
      <c r="C2383" s="5" t="s">
        <v>27</v>
      </c>
      <c r="D2383" s="5" t="s">
        <v>28</v>
      </c>
      <c r="E2383" s="5" t="s">
        <v>143</v>
      </c>
      <c r="F2383" s="9">
        <v>87</v>
      </c>
      <c r="G2383" s="9">
        <v>963</v>
      </c>
      <c r="H2383" s="5" t="s">
        <v>20</v>
      </c>
      <c r="I2383" s="5" t="s">
        <v>5940</v>
      </c>
      <c r="J2383" s="12" t="str">
        <f>HYPERLINK("https://www.boe.es/gazeta/dias/1804/10/30/pdfs/GMD-1804-87.pdf#page=7","Abrir facsímil")</f>
        <v>Abrir facsímil</v>
      </c>
      <c r="K2383" s="15" t="s">
        <v>22</v>
      </c>
    </row>
    <row r="2384" spans="1:11" ht="42" customHeight="1">
      <c r="A2384" s="4" t="s">
        <v>5941</v>
      </c>
      <c r="B2384" s="5" t="s">
        <v>5941</v>
      </c>
      <c r="C2384" s="5" t="s">
        <v>27</v>
      </c>
      <c r="D2384" s="5" t="s">
        <v>28</v>
      </c>
      <c r="E2384" s="5" t="s">
        <v>388</v>
      </c>
      <c r="F2384" s="9">
        <v>18</v>
      </c>
      <c r="G2384" s="9">
        <v>192</v>
      </c>
      <c r="H2384" s="5" t="s">
        <v>20</v>
      </c>
      <c r="I2384" s="5" t="s">
        <v>5942</v>
      </c>
      <c r="J2384" s="12" t="str">
        <f>HYPERLINK("https://www.boe.es/gazeta/dias/1804/03/02/pdfs/GMD-1804-18.pdf#page=4","Abrir facsímil")</f>
        <v>Abrir facsímil</v>
      </c>
      <c r="K2384" s="15" t="s">
        <v>22</v>
      </c>
    </row>
    <row r="2385" spans="1:11" ht="42" customHeight="1">
      <c r="A2385" s="4" t="s">
        <v>5943</v>
      </c>
      <c r="B2385" s="5" t="s">
        <v>5944</v>
      </c>
      <c r="C2385" s="5" t="s">
        <v>120</v>
      </c>
      <c r="D2385" s="5" t="s">
        <v>121</v>
      </c>
      <c r="E2385" s="5" t="s">
        <v>33</v>
      </c>
      <c r="F2385" s="9">
        <v>48</v>
      </c>
      <c r="G2385" s="9" t="s">
        <v>122</v>
      </c>
      <c r="H2385" s="5" t="s">
        <v>20</v>
      </c>
      <c r="I2385" s="5" t="s">
        <v>5945</v>
      </c>
      <c r="J2385" s="12" t="str">
        <f>HYPERLINK("https://www.boe.es/gazeta/dias/1804/06/15/pdfs/GMD-C-1804-48.pdf#page=3","Abrir facsímil")</f>
        <v>Abrir facsímil</v>
      </c>
      <c r="K2385" s="15" t="s">
        <v>22</v>
      </c>
    </row>
    <row r="2386" spans="1:11" ht="42" customHeight="1">
      <c r="A2386" s="4" t="s">
        <v>5946</v>
      </c>
      <c r="B2386" s="5" t="s">
        <v>5947</v>
      </c>
      <c r="C2386" s="5" t="s">
        <v>17</v>
      </c>
      <c r="D2386" s="5" t="s">
        <v>18</v>
      </c>
      <c r="E2386" s="5" t="s">
        <v>33</v>
      </c>
      <c r="F2386" s="9">
        <v>48</v>
      </c>
      <c r="G2386" s="9">
        <v>537</v>
      </c>
      <c r="H2386" s="5" t="s">
        <v>20</v>
      </c>
      <c r="I2386" s="5" t="s">
        <v>5948</v>
      </c>
      <c r="J2386" s="12" t="str">
        <f>HYPERLINK("https://www.boe.es/gazeta/dias/1804/06/15/pdfs/GMD-1804-48.pdf#page=7","Abrir facsímil")</f>
        <v>Abrir facsímil</v>
      </c>
      <c r="K2386" s="15" t="s">
        <v>22</v>
      </c>
    </row>
    <row r="2387" spans="1:11" ht="42" customHeight="1">
      <c r="A2387" s="4" t="s">
        <v>5949</v>
      </c>
      <c r="B2387" s="5" t="s">
        <v>5949</v>
      </c>
      <c r="C2387" s="5" t="s">
        <v>17</v>
      </c>
      <c r="D2387" s="5" t="s">
        <v>18</v>
      </c>
      <c r="E2387" s="5" t="s">
        <v>91</v>
      </c>
      <c r="F2387" s="9">
        <v>72</v>
      </c>
      <c r="G2387" s="9">
        <v>807</v>
      </c>
      <c r="H2387" s="5" t="s">
        <v>20</v>
      </c>
      <c r="I2387" s="5" t="s">
        <v>5950</v>
      </c>
      <c r="J2387" s="12" t="str">
        <f>HYPERLINK("https://www.boe.es/gazeta/dias/1804/09/07/pdfs/GMD-1804-72.pdf#page=9","Abrir facsímil")</f>
        <v>Abrir facsímil</v>
      </c>
      <c r="K2387" s="15" t="s">
        <v>22</v>
      </c>
    </row>
    <row r="2388" spans="1:11" ht="42" customHeight="1">
      <c r="A2388" s="4" t="s">
        <v>5951</v>
      </c>
      <c r="B2388" s="5" t="s">
        <v>5951</v>
      </c>
      <c r="C2388" s="5" t="s">
        <v>27</v>
      </c>
      <c r="D2388" s="5" t="s">
        <v>28</v>
      </c>
      <c r="E2388" s="5" t="s">
        <v>666</v>
      </c>
      <c r="F2388" s="9">
        <v>57</v>
      </c>
      <c r="G2388" s="9">
        <v>632</v>
      </c>
      <c r="H2388" s="5" t="s">
        <v>20</v>
      </c>
      <c r="I2388" s="5" t="s">
        <v>5952</v>
      </c>
      <c r="J2388" s="12" t="str">
        <f>HYPERLINK("https://www.boe.es/gazeta/dias/1804/07/17/pdfs/GMD-1804-57.pdf#page=10","Abrir facsímil")</f>
        <v>Abrir facsímil</v>
      </c>
      <c r="K2388" s="15" t="s">
        <v>22</v>
      </c>
    </row>
    <row r="2389" spans="1:11" ht="42" customHeight="1">
      <c r="A2389" s="4" t="s">
        <v>5953</v>
      </c>
      <c r="B2389" s="5" t="s">
        <v>5953</v>
      </c>
      <c r="C2389" s="5" t="s">
        <v>17</v>
      </c>
      <c r="D2389" s="5" t="s">
        <v>18</v>
      </c>
      <c r="E2389" s="5" t="s">
        <v>251</v>
      </c>
      <c r="F2389" s="9">
        <v>79</v>
      </c>
      <c r="G2389" s="9">
        <v>880</v>
      </c>
      <c r="H2389" s="5" t="s">
        <v>20</v>
      </c>
      <c r="I2389" s="5" t="s">
        <v>5954</v>
      </c>
      <c r="J2389" s="12" t="str">
        <f>HYPERLINK("https://www.boe.es/gazeta/dias/1804/10/02/pdfs/GMD-1804-79.pdf#page=10","Abrir facsímil")</f>
        <v>Abrir facsímil</v>
      </c>
      <c r="K2389" s="15" t="s">
        <v>22</v>
      </c>
    </row>
    <row r="2390" spans="1:11" ht="42" customHeight="1">
      <c r="A2390" s="4" t="s">
        <v>5955</v>
      </c>
      <c r="B2390" s="5" t="s">
        <v>5955</v>
      </c>
      <c r="C2390" s="5" t="s">
        <v>17</v>
      </c>
      <c r="D2390" s="5" t="s">
        <v>18</v>
      </c>
      <c r="E2390" s="5" t="s">
        <v>91</v>
      </c>
      <c r="F2390" s="9">
        <v>72</v>
      </c>
      <c r="G2390" s="9">
        <v>805</v>
      </c>
      <c r="H2390" s="5" t="s">
        <v>20</v>
      </c>
      <c r="I2390" s="5" t="s">
        <v>5956</v>
      </c>
      <c r="J2390" s="12" t="str">
        <f>HYPERLINK("https://www.boe.es/gazeta/dias/1804/09/07/pdfs/GMD-1804-72.pdf#page=7","Abrir facsímil")</f>
        <v>Abrir facsímil</v>
      </c>
      <c r="K2390" s="15" t="s">
        <v>22</v>
      </c>
    </row>
    <row r="2391" spans="1:11" ht="42" customHeight="1">
      <c r="A2391" s="4" t="s">
        <v>5957</v>
      </c>
      <c r="B2391" s="5" t="s">
        <v>5958</v>
      </c>
      <c r="C2391" s="5" t="s">
        <v>65</v>
      </c>
      <c r="D2391" s="5" t="s">
        <v>66</v>
      </c>
      <c r="E2391" s="5" t="s">
        <v>132</v>
      </c>
      <c r="F2391" s="9">
        <v>52</v>
      </c>
      <c r="G2391" s="9">
        <v>570</v>
      </c>
      <c r="H2391" s="5" t="s">
        <v>20</v>
      </c>
      <c r="I2391" s="5" t="s">
        <v>5959</v>
      </c>
      <c r="J2391" s="12" t="str">
        <f>HYPERLINK("https://www.boe.es/gazeta/dias/1804/06/29/pdfs/GMD-1804-52.pdf#page=4","Abrir facsímil")</f>
        <v>Abrir facsímil</v>
      </c>
      <c r="K2391" s="15" t="s">
        <v>22</v>
      </c>
    </row>
    <row r="2392" spans="1:11" ht="42" customHeight="1">
      <c r="A2392" s="4" t="s">
        <v>5960</v>
      </c>
      <c r="B2392" s="5" t="s">
        <v>5960</v>
      </c>
      <c r="C2392" s="5" t="s">
        <v>27</v>
      </c>
      <c r="D2392" s="5" t="s">
        <v>28</v>
      </c>
      <c r="E2392" s="5" t="s">
        <v>308</v>
      </c>
      <c r="F2392" s="9">
        <v>96</v>
      </c>
      <c r="G2392" s="9">
        <v>1067</v>
      </c>
      <c r="H2392" s="5" t="s">
        <v>20</v>
      </c>
      <c r="I2392" s="5" t="s">
        <v>5961</v>
      </c>
      <c r="J2392" s="12" t="str">
        <f>HYPERLINK("https://www.boe.es/gazeta/dias/1804/11/30/pdfs/GMD-1804-96.pdf#page=7","Abrir facsímil")</f>
        <v>Abrir facsímil</v>
      </c>
      <c r="K2392" s="15" t="s">
        <v>22</v>
      </c>
    </row>
    <row r="2393" spans="1:11" ht="42" customHeight="1">
      <c r="A2393" s="4" t="s">
        <v>5962</v>
      </c>
      <c r="B2393" s="5" t="s">
        <v>5962</v>
      </c>
      <c r="C2393" s="5" t="s">
        <v>27</v>
      </c>
      <c r="D2393" s="5" t="s">
        <v>28</v>
      </c>
      <c r="E2393" s="5" t="s">
        <v>272</v>
      </c>
      <c r="F2393" s="9">
        <v>30</v>
      </c>
      <c r="G2393" s="9">
        <v>332</v>
      </c>
      <c r="H2393" s="5" t="s">
        <v>20</v>
      </c>
      <c r="I2393" s="5" t="s">
        <v>5963</v>
      </c>
      <c r="J2393" s="12" t="str">
        <f>HYPERLINK("https://www.boe.es/gazeta/dias/1804/04/13/pdfs/GMD-1804-30.pdf#page=10","Abrir facsímil")</f>
        <v>Abrir facsímil</v>
      </c>
      <c r="K2393" s="15" t="s">
        <v>22</v>
      </c>
    </row>
    <row r="2394" spans="1:11" ht="42" customHeight="1">
      <c r="A2394" s="4" t="s">
        <v>5964</v>
      </c>
      <c r="B2394" s="5" t="s">
        <v>5965</v>
      </c>
      <c r="C2394" s="5" t="s">
        <v>27</v>
      </c>
      <c r="D2394" s="5" t="s">
        <v>28</v>
      </c>
      <c r="E2394" s="5" t="s">
        <v>75</v>
      </c>
      <c r="F2394" s="9">
        <v>16</v>
      </c>
      <c r="G2394" s="9">
        <v>166</v>
      </c>
      <c r="H2394" s="5" t="s">
        <v>20</v>
      </c>
      <c r="I2394" s="5" t="s">
        <v>5966</v>
      </c>
      <c r="J2394" s="12" t="str">
        <f>HYPERLINK("https://www.boe.es/gazeta/dias/1804/02/24/pdfs/GMD-1804-16.pdf#page=2","Abrir facsímil")</f>
        <v>Abrir facsímil</v>
      </c>
      <c r="K2394" s="15" t="s">
        <v>22</v>
      </c>
    </row>
    <row r="2395" spans="1:11" ht="42" customHeight="1">
      <c r="A2395" s="4" t="s">
        <v>5964</v>
      </c>
      <c r="B2395" s="5" t="s">
        <v>5965</v>
      </c>
      <c r="C2395" s="5" t="s">
        <v>57</v>
      </c>
      <c r="D2395" s="5" t="s">
        <v>58</v>
      </c>
      <c r="E2395" s="5" t="s">
        <v>226</v>
      </c>
      <c r="F2395" s="9">
        <v>17</v>
      </c>
      <c r="G2395" s="9">
        <v>182</v>
      </c>
      <c r="H2395" s="5" t="s">
        <v>20</v>
      </c>
      <c r="I2395" s="5" t="s">
        <v>5967</v>
      </c>
      <c r="J2395" s="12" t="str">
        <f>HYPERLINK("https://www.boe.es/gazeta/dias/1804/02/28/pdfs/GMD-1804-17.pdf#page=2","Abrir facsímil")</f>
        <v>Abrir facsímil</v>
      </c>
      <c r="K2395" s="15" t="s">
        <v>22</v>
      </c>
    </row>
    <row r="2396" spans="1:11" ht="42" customHeight="1">
      <c r="A2396" s="4" t="s">
        <v>5964</v>
      </c>
      <c r="B2396" s="5" t="s">
        <v>5965</v>
      </c>
      <c r="C2396" s="5" t="s">
        <v>57</v>
      </c>
      <c r="D2396" s="5" t="s">
        <v>58</v>
      </c>
      <c r="E2396" s="5" t="s">
        <v>251</v>
      </c>
      <c r="F2396" s="9">
        <v>79</v>
      </c>
      <c r="G2396" s="9">
        <v>871</v>
      </c>
      <c r="H2396" s="5" t="s">
        <v>20</v>
      </c>
      <c r="I2396" s="5" t="s">
        <v>5968</v>
      </c>
      <c r="J2396" s="12" t="str">
        <f>HYPERLINK("https://www.boe.es/gazeta/dias/1804/10/02/pdfs/GMD-1804-79.pdf#page=1","Abrir facsímil")</f>
        <v>Abrir facsímil</v>
      </c>
      <c r="K2396" s="15" t="s">
        <v>22</v>
      </c>
    </row>
    <row r="2397" spans="1:11" ht="42" customHeight="1">
      <c r="A2397" s="4" t="s">
        <v>5969</v>
      </c>
      <c r="B2397" s="5" t="s">
        <v>5970</v>
      </c>
      <c r="C2397" s="5" t="s">
        <v>85</v>
      </c>
      <c r="D2397" s="5" t="s">
        <v>86</v>
      </c>
      <c r="E2397" s="5" t="s">
        <v>91</v>
      </c>
      <c r="F2397" s="9">
        <v>72</v>
      </c>
      <c r="G2397" s="9">
        <v>807</v>
      </c>
      <c r="H2397" s="5" t="s">
        <v>20</v>
      </c>
      <c r="I2397" s="5" t="s">
        <v>5971</v>
      </c>
      <c r="J2397" s="12" t="str">
        <f>HYPERLINK("https://www.boe.es/gazeta/dias/1804/09/07/pdfs/GMD-1804-72.pdf#page=9","Abrir facsímil")</f>
        <v>Abrir facsímil</v>
      </c>
      <c r="K2397" s="15" t="s">
        <v>22</v>
      </c>
    </row>
    <row r="2398" spans="1:11" ht="42" customHeight="1">
      <c r="A2398" s="4" t="s">
        <v>5972</v>
      </c>
      <c r="B2398" s="5" t="s">
        <v>5972</v>
      </c>
      <c r="C2398" s="5" t="s">
        <v>27</v>
      </c>
      <c r="D2398" s="5" t="s">
        <v>28</v>
      </c>
      <c r="E2398" s="5" t="s">
        <v>800</v>
      </c>
      <c r="F2398" s="9">
        <v>45</v>
      </c>
      <c r="G2398" s="9">
        <v>492</v>
      </c>
      <c r="H2398" s="5" t="s">
        <v>20</v>
      </c>
      <c r="I2398" s="5" t="s">
        <v>5973</v>
      </c>
      <c r="J2398" s="12" t="str">
        <f>HYPERLINK("https://www.boe.es/gazeta/dias/1804/06/05/pdfs/GMD-1804-45.pdf#page=2","Abrir facsímil")</f>
        <v>Abrir facsímil</v>
      </c>
      <c r="K2398" s="15" t="s">
        <v>22</v>
      </c>
    </row>
    <row r="2399" spans="1:11" ht="42" customHeight="1">
      <c r="A2399" s="4" t="s">
        <v>5974</v>
      </c>
      <c r="B2399" s="5" t="s">
        <v>5974</v>
      </c>
      <c r="C2399" s="5" t="s">
        <v>27</v>
      </c>
      <c r="D2399" s="5" t="s">
        <v>28</v>
      </c>
      <c r="E2399" s="5" t="s">
        <v>576</v>
      </c>
      <c r="F2399" s="9">
        <v>85</v>
      </c>
      <c r="G2399" s="9">
        <v>939</v>
      </c>
      <c r="H2399" s="5" t="s">
        <v>20</v>
      </c>
      <c r="I2399" s="5" t="s">
        <v>5975</v>
      </c>
      <c r="J2399" s="12" t="str">
        <f>HYPERLINK("https://www.boe.es/gazeta/dias/1804/10/23/pdfs/GMD-1804-85.pdf#page=9","Abrir facsímil")</f>
        <v>Abrir facsímil</v>
      </c>
      <c r="K2399" s="15" t="s">
        <v>22</v>
      </c>
    </row>
    <row r="2400" spans="1:11" ht="42" customHeight="1">
      <c r="A2400" s="4" t="s">
        <v>5976</v>
      </c>
      <c r="B2400" s="5" t="s">
        <v>5977</v>
      </c>
      <c r="C2400" s="5" t="s">
        <v>27</v>
      </c>
      <c r="D2400" s="5" t="s">
        <v>28</v>
      </c>
      <c r="E2400" s="5" t="s">
        <v>163</v>
      </c>
      <c r="F2400" s="9">
        <v>70</v>
      </c>
      <c r="G2400" s="9">
        <v>784</v>
      </c>
      <c r="H2400" s="5" t="s">
        <v>20</v>
      </c>
      <c r="I2400" s="5" t="s">
        <v>5978</v>
      </c>
      <c r="J2400" s="12" t="str">
        <f>HYPERLINK("https://www.boe.es/gazeta/dias/1804/08/31/pdfs/GMD-1804-70.pdf#page=6","Abrir facsímil")</f>
        <v>Abrir facsímil</v>
      </c>
      <c r="K2400" s="15" t="s">
        <v>22</v>
      </c>
    </row>
    <row r="2401" spans="1:11" ht="42" customHeight="1">
      <c r="A2401" s="4" t="s">
        <v>5979</v>
      </c>
      <c r="B2401" s="5" t="s">
        <v>5980</v>
      </c>
      <c r="C2401" s="5" t="s">
        <v>198</v>
      </c>
      <c r="D2401" s="5" t="s">
        <v>66</v>
      </c>
      <c r="E2401" s="5" t="s">
        <v>576</v>
      </c>
      <c r="F2401" s="9">
        <v>85</v>
      </c>
      <c r="G2401" s="9">
        <v>940</v>
      </c>
      <c r="H2401" s="5" t="s">
        <v>20</v>
      </c>
      <c r="I2401" s="5" t="s">
        <v>5981</v>
      </c>
      <c r="J2401" s="12" t="str">
        <f>HYPERLINK("https://www.boe.es/gazeta/dias/1804/10/23/pdfs/GMD-1804-85.pdf#page=10","Abrir facsímil")</f>
        <v>Abrir facsímil</v>
      </c>
      <c r="K2401" s="15" t="s">
        <v>22</v>
      </c>
    </row>
    <row r="2402" spans="1:11" ht="42" customHeight="1">
      <c r="A2402" s="4" t="s">
        <v>5982</v>
      </c>
      <c r="B2402" s="5" t="s">
        <v>5983</v>
      </c>
      <c r="C2402" s="5" t="s">
        <v>17</v>
      </c>
      <c r="D2402" s="5" t="s">
        <v>18</v>
      </c>
      <c r="E2402" s="5" t="s">
        <v>421</v>
      </c>
      <c r="F2402" s="9">
        <v>47</v>
      </c>
      <c r="G2402" s="9">
        <v>527</v>
      </c>
      <c r="H2402" s="5" t="s">
        <v>20</v>
      </c>
      <c r="I2402" s="5" t="s">
        <v>5984</v>
      </c>
      <c r="J2402" s="12" t="str">
        <f>HYPERLINK("https://www.boe.es/gazeta/dias/1804/06/12/pdfs/GMD-1804-47.pdf#page=9","Abrir facsímil")</f>
        <v>Abrir facsímil</v>
      </c>
      <c r="K2402" s="15" t="s">
        <v>22</v>
      </c>
    </row>
    <row r="2403" spans="1:11" ht="42" customHeight="1">
      <c r="A2403" s="4" t="s">
        <v>5985</v>
      </c>
      <c r="B2403" s="5" t="s">
        <v>5986</v>
      </c>
      <c r="C2403" s="5" t="s">
        <v>27</v>
      </c>
      <c r="D2403" s="5" t="s">
        <v>28</v>
      </c>
      <c r="E2403" s="5" t="s">
        <v>320</v>
      </c>
      <c r="F2403" s="9">
        <v>31</v>
      </c>
      <c r="G2403" s="9">
        <v>344</v>
      </c>
      <c r="H2403" s="5" t="s">
        <v>20</v>
      </c>
      <c r="I2403" s="5" t="s">
        <v>5987</v>
      </c>
      <c r="J2403" s="12" t="str">
        <f>HYPERLINK("https://www.boe.es/gazeta/dias/1804/04/17/pdfs/GMD-1804-31.pdf#page=10","Abrir facsímil")</f>
        <v>Abrir facsímil</v>
      </c>
      <c r="K2403" s="15" t="s">
        <v>22</v>
      </c>
    </row>
    <row r="2404" spans="1:11" ht="42" customHeight="1">
      <c r="A2404" s="4" t="s">
        <v>5988</v>
      </c>
      <c r="B2404" s="5" t="s">
        <v>5989</v>
      </c>
      <c r="C2404" s="5" t="s">
        <v>17</v>
      </c>
      <c r="D2404" s="5" t="s">
        <v>18</v>
      </c>
      <c r="E2404" s="5" t="s">
        <v>71</v>
      </c>
      <c r="F2404" s="9">
        <v>99</v>
      </c>
      <c r="G2404" s="9">
        <v>1106</v>
      </c>
      <c r="H2404" s="5" t="s">
        <v>20</v>
      </c>
      <c r="I2404" s="5" t="s">
        <v>5990</v>
      </c>
      <c r="J2404" s="12" t="str">
        <f>HYPERLINK("https://www.boe.es/gazeta/dias/1804/12/11/pdfs/GMD-1804-99.pdf#page=6","Abrir facsímil")</f>
        <v>Abrir facsímil</v>
      </c>
      <c r="K2404" s="15" t="s">
        <v>22</v>
      </c>
    </row>
    <row r="2405" spans="1:11" ht="42" customHeight="1">
      <c r="A2405" s="4" t="s">
        <v>5991</v>
      </c>
      <c r="B2405" s="5" t="s">
        <v>5992</v>
      </c>
      <c r="C2405" s="5" t="s">
        <v>27</v>
      </c>
      <c r="D2405" s="5" t="s">
        <v>28</v>
      </c>
      <c r="E2405" s="5" t="s">
        <v>736</v>
      </c>
      <c r="F2405" s="9">
        <v>83</v>
      </c>
      <c r="G2405" s="9">
        <v>918</v>
      </c>
      <c r="H2405" s="5" t="s">
        <v>20</v>
      </c>
      <c r="I2405" s="5" t="s">
        <v>5993</v>
      </c>
      <c r="J2405" s="12" t="str">
        <f>HYPERLINK("https://www.boe.es/gazeta/dias/1804/10/16/pdfs/GMD-1804-83.pdf#page=8","Abrir facsímil")</f>
        <v>Abrir facsímil</v>
      </c>
      <c r="K2405" s="15" t="s">
        <v>22</v>
      </c>
    </row>
    <row r="2406" spans="1:11" ht="42" customHeight="1">
      <c r="A2406" s="4" t="s">
        <v>5994</v>
      </c>
      <c r="B2406" s="5" t="s">
        <v>5995</v>
      </c>
      <c r="C2406" s="5" t="s">
        <v>17</v>
      </c>
      <c r="D2406" s="5" t="s">
        <v>18</v>
      </c>
      <c r="E2406" s="5" t="s">
        <v>367</v>
      </c>
      <c r="F2406" s="9">
        <v>64</v>
      </c>
      <c r="G2406" s="9">
        <v>716</v>
      </c>
      <c r="H2406" s="5" t="s">
        <v>20</v>
      </c>
      <c r="I2406" s="5" t="s">
        <v>5996</v>
      </c>
      <c r="J2406" s="12" t="str">
        <f>HYPERLINK("https://www.boe.es/gazeta/dias/1804/08/10/pdfs/GMD-1804-64.pdf#page=10","Abrir facsímil")</f>
        <v>Abrir facsímil</v>
      </c>
      <c r="K2406" s="15" t="s">
        <v>22</v>
      </c>
    </row>
    <row r="2407" spans="1:11" ht="42" customHeight="1">
      <c r="A2407" s="4" t="s">
        <v>5997</v>
      </c>
      <c r="B2407" s="5" t="s">
        <v>5998</v>
      </c>
      <c r="C2407" s="5" t="s">
        <v>198</v>
      </c>
      <c r="D2407" s="5" t="s">
        <v>66</v>
      </c>
      <c r="E2407" s="5" t="s">
        <v>140</v>
      </c>
      <c r="F2407" s="9">
        <v>39</v>
      </c>
      <c r="G2407" s="9">
        <v>438</v>
      </c>
      <c r="H2407" s="5" t="s">
        <v>20</v>
      </c>
      <c r="I2407" s="5" t="s">
        <v>5999</v>
      </c>
      <c r="J2407" s="12" t="str">
        <f>HYPERLINK("https://www.boe.es/gazeta/dias/1804/05/15/pdfs/GMD-1804-39.pdf#page=12","Abrir facsímil")</f>
        <v>Abrir facsímil</v>
      </c>
      <c r="K2407" s="15" t="s">
        <v>22</v>
      </c>
    </row>
    <row r="2408" spans="1:11" ht="42" customHeight="1">
      <c r="A2408" s="4" t="s">
        <v>6000</v>
      </c>
      <c r="B2408" s="5" t="s">
        <v>6001</v>
      </c>
      <c r="C2408" s="5" t="s">
        <v>27</v>
      </c>
      <c r="D2408" s="5" t="s">
        <v>28</v>
      </c>
      <c r="E2408" s="5" t="s">
        <v>320</v>
      </c>
      <c r="F2408" s="9">
        <v>31</v>
      </c>
      <c r="G2408" s="9">
        <v>344</v>
      </c>
      <c r="H2408" s="5" t="s">
        <v>20</v>
      </c>
      <c r="I2408" s="5" t="s">
        <v>6002</v>
      </c>
      <c r="J2408" s="12" t="str">
        <f>HYPERLINK("https://www.boe.es/gazeta/dias/1804/04/17/pdfs/GMD-1804-31.pdf#page=10","Abrir facsímil")</f>
        <v>Abrir facsímil</v>
      </c>
      <c r="K2408" s="15" t="s">
        <v>22</v>
      </c>
    </row>
    <row r="2409" spans="1:11" ht="42" customHeight="1">
      <c r="A2409" s="4" t="s">
        <v>6003</v>
      </c>
      <c r="B2409" s="5" t="s">
        <v>6004</v>
      </c>
      <c r="C2409" s="5" t="s">
        <v>27</v>
      </c>
      <c r="D2409" s="5" t="s">
        <v>28</v>
      </c>
      <c r="E2409" s="5" t="s">
        <v>466</v>
      </c>
      <c r="F2409" s="9">
        <v>76</v>
      </c>
      <c r="G2409" s="9">
        <v>847</v>
      </c>
      <c r="H2409" s="5" t="s">
        <v>20</v>
      </c>
      <c r="I2409" s="5" t="s">
        <v>6005</v>
      </c>
      <c r="J2409" s="12" t="str">
        <f>HYPERLINK("https://www.boe.es/gazeta/dias/1804/09/21/pdfs/GMD-1804-76.pdf#page=5","Abrir facsímil")</f>
        <v>Abrir facsímil</v>
      </c>
      <c r="K2409" s="15" t="s">
        <v>22</v>
      </c>
    </row>
    <row r="2410" spans="1:11" ht="42" customHeight="1">
      <c r="A2410" s="4" t="s">
        <v>6006</v>
      </c>
      <c r="B2410" s="5" t="s">
        <v>6007</v>
      </c>
      <c r="C2410" s="5" t="s">
        <v>27</v>
      </c>
      <c r="D2410" s="5" t="s">
        <v>28</v>
      </c>
      <c r="E2410" s="5" t="s">
        <v>258</v>
      </c>
      <c r="F2410" s="9">
        <v>14</v>
      </c>
      <c r="G2410" s="9">
        <v>153</v>
      </c>
      <c r="H2410" s="5" t="s">
        <v>20</v>
      </c>
      <c r="I2410" s="5" t="s">
        <v>6008</v>
      </c>
      <c r="J2410" s="12" t="str">
        <f>HYPERLINK("https://www.boe.es/gazeta/dias/1804/02/17/pdfs/GMD-1804-14.pdf#page=9","Abrir facsímil")</f>
        <v>Abrir facsímil</v>
      </c>
      <c r="K2410" s="15" t="s">
        <v>22</v>
      </c>
    </row>
    <row r="2411" spans="1:11" ht="42" customHeight="1">
      <c r="A2411" s="4" t="s">
        <v>6009</v>
      </c>
      <c r="B2411" s="5" t="s">
        <v>6010</v>
      </c>
      <c r="C2411" s="5" t="s">
        <v>65</v>
      </c>
      <c r="D2411" s="5" t="s">
        <v>66</v>
      </c>
      <c r="E2411" s="5" t="s">
        <v>54</v>
      </c>
      <c r="F2411" s="9">
        <v>63</v>
      </c>
      <c r="G2411" s="9">
        <v>700</v>
      </c>
      <c r="H2411" s="5" t="s">
        <v>20</v>
      </c>
      <c r="I2411" s="5" t="s">
        <v>6011</v>
      </c>
      <c r="J2411" s="12" t="str">
        <f>HYPERLINK("https://www.boe.es/gazeta/dias/1804/08/07/pdfs/GMD-1804-63.pdf#page=10","Abrir facsímil")</f>
        <v>Abrir facsímil</v>
      </c>
      <c r="K2411" s="15" t="s">
        <v>22</v>
      </c>
    </row>
    <row r="2412" spans="1:11" ht="42" customHeight="1">
      <c r="A2412" s="4" t="s">
        <v>6012</v>
      </c>
      <c r="B2412" s="5" t="s">
        <v>6013</v>
      </c>
      <c r="C2412" s="5" t="s">
        <v>27</v>
      </c>
      <c r="D2412" s="5" t="s">
        <v>28</v>
      </c>
      <c r="E2412" s="5" t="s">
        <v>699</v>
      </c>
      <c r="F2412" s="9">
        <v>2</v>
      </c>
      <c r="G2412" s="9">
        <v>18</v>
      </c>
      <c r="H2412" s="5" t="s">
        <v>20</v>
      </c>
      <c r="I2412" s="5" t="s">
        <v>6014</v>
      </c>
      <c r="J2412" s="12" t="str">
        <f>HYPERLINK("https://www.boe.es/gazeta/dias/1804/01/06/pdfs/GMD-1804-2.pdf#page=6","Abrir facsímil")</f>
        <v>Abrir facsímil</v>
      </c>
      <c r="K2412" s="15" t="s">
        <v>22</v>
      </c>
    </row>
    <row r="2413" spans="1:11" ht="42" customHeight="1">
      <c r="A2413" s="4" t="s">
        <v>6015</v>
      </c>
      <c r="B2413" s="5" t="s">
        <v>6016</v>
      </c>
      <c r="C2413" s="5" t="s">
        <v>120</v>
      </c>
      <c r="D2413" s="5" t="s">
        <v>121</v>
      </c>
      <c r="E2413" s="5" t="s">
        <v>33</v>
      </c>
      <c r="F2413" s="9">
        <v>48</v>
      </c>
      <c r="G2413" s="9" t="s">
        <v>819</v>
      </c>
      <c r="H2413" s="5" t="s">
        <v>20</v>
      </c>
      <c r="I2413" s="5" t="s">
        <v>6017</v>
      </c>
      <c r="J2413" s="12" t="str">
        <f>HYPERLINK("https://www.boe.es/gazeta/dias/1804/06/15/pdfs/GMD-C-1804-48.pdf#page=4","Abrir facsímil")</f>
        <v>Abrir facsímil</v>
      </c>
      <c r="K2413" s="15" t="s">
        <v>22</v>
      </c>
    </row>
    <row r="2414" spans="1:11" ht="42" customHeight="1">
      <c r="A2414" s="4" t="s">
        <v>6018</v>
      </c>
      <c r="B2414" s="5" t="s">
        <v>6019</v>
      </c>
      <c r="C2414" s="5" t="s">
        <v>120</v>
      </c>
      <c r="D2414" s="5" t="s">
        <v>121</v>
      </c>
      <c r="E2414" s="5" t="s">
        <v>33</v>
      </c>
      <c r="F2414" s="9">
        <v>48</v>
      </c>
      <c r="G2414" s="9" t="s">
        <v>98</v>
      </c>
      <c r="H2414" s="5" t="s">
        <v>20</v>
      </c>
      <c r="I2414" s="5" t="s">
        <v>6020</v>
      </c>
      <c r="J2414" s="12" t="str">
        <f>HYPERLINK("https://www.boe.es/gazeta/dias/1804/06/15/pdfs/GMD-C-1804-48.pdf#page=1","Abrir facsímil")</f>
        <v>Abrir facsímil</v>
      </c>
      <c r="K2414" s="15" t="s">
        <v>22</v>
      </c>
    </row>
    <row r="2415" spans="1:11" ht="42" customHeight="1">
      <c r="A2415" s="4" t="s">
        <v>6021</v>
      </c>
      <c r="B2415" s="5" t="s">
        <v>6021</v>
      </c>
      <c r="C2415" s="5" t="s">
        <v>57</v>
      </c>
      <c r="D2415" s="5" t="s">
        <v>58</v>
      </c>
      <c r="E2415" s="5" t="s">
        <v>208</v>
      </c>
      <c r="F2415" s="9">
        <v>97</v>
      </c>
      <c r="G2415" s="9">
        <v>1080</v>
      </c>
      <c r="H2415" s="5" t="s">
        <v>20</v>
      </c>
      <c r="I2415" s="5" t="s">
        <v>6022</v>
      </c>
      <c r="J2415" s="12" t="str">
        <f>HYPERLINK("https://www.boe.es/gazeta/dias/1804/12/04/pdfs/GMD-1804-97.pdf#page=8","Abrir facsímil")</f>
        <v>Abrir facsímil</v>
      </c>
      <c r="K2415" s="15" t="s">
        <v>22</v>
      </c>
    </row>
    <row r="2416" spans="1:11" ht="42" customHeight="1">
      <c r="A2416" s="4" t="s">
        <v>6023</v>
      </c>
      <c r="B2416" s="5" t="s">
        <v>6024</v>
      </c>
      <c r="C2416" s="5" t="s">
        <v>65</v>
      </c>
      <c r="D2416" s="5" t="s">
        <v>66</v>
      </c>
      <c r="E2416" s="5" t="s">
        <v>97</v>
      </c>
      <c r="F2416" s="9">
        <v>50</v>
      </c>
      <c r="G2416" s="9">
        <v>553</v>
      </c>
      <c r="H2416" s="5" t="s">
        <v>20</v>
      </c>
      <c r="I2416" s="5" t="s">
        <v>6025</v>
      </c>
      <c r="J2416" s="12" t="str">
        <f>HYPERLINK("https://www.boe.es/gazeta/dias/1804/06/22/pdfs/GMD-1804-50.pdf#page=7","Abrir facsímil")</f>
        <v>Abrir facsímil</v>
      </c>
      <c r="K2416" s="15" t="s">
        <v>22</v>
      </c>
    </row>
    <row r="2417" spans="1:11" ht="42" customHeight="1">
      <c r="A2417" s="4" t="s">
        <v>6026</v>
      </c>
      <c r="B2417" s="5" t="s">
        <v>6027</v>
      </c>
      <c r="C2417" s="5" t="s">
        <v>27</v>
      </c>
      <c r="D2417" s="5" t="s">
        <v>28</v>
      </c>
      <c r="E2417" s="5" t="s">
        <v>109</v>
      </c>
      <c r="F2417" s="9">
        <v>35</v>
      </c>
      <c r="G2417" s="9">
        <v>386</v>
      </c>
      <c r="H2417" s="5" t="s">
        <v>20</v>
      </c>
      <c r="I2417" s="5" t="s">
        <v>6028</v>
      </c>
      <c r="J2417" s="12" t="str">
        <f>HYPERLINK("https://www.boe.es/gazeta/dias/1804/05/01/pdfs/GMD-1804-35.pdf#page=8","Abrir facsímil")</f>
        <v>Abrir facsímil</v>
      </c>
      <c r="K2417" s="15" t="s">
        <v>22</v>
      </c>
    </row>
    <row r="2418" spans="1:11" ht="42" customHeight="1">
      <c r="A2418" s="4" t="s">
        <v>6029</v>
      </c>
      <c r="B2418" s="5" t="s">
        <v>6030</v>
      </c>
      <c r="C2418" s="5" t="s">
        <v>57</v>
      </c>
      <c r="D2418" s="5" t="s">
        <v>58</v>
      </c>
      <c r="E2418" s="5" t="s">
        <v>736</v>
      </c>
      <c r="F2418" s="9">
        <v>83</v>
      </c>
      <c r="G2418" s="9">
        <v>914</v>
      </c>
      <c r="H2418" s="5" t="s">
        <v>20</v>
      </c>
      <c r="I2418" s="5" t="s">
        <v>6031</v>
      </c>
      <c r="J2418" s="12" t="str">
        <f>HYPERLINK("https://www.boe.es/gazeta/dias/1804/10/16/pdfs/GMD-1804-83.pdf#page=4","Abrir facsímil")</f>
        <v>Abrir facsímil</v>
      </c>
      <c r="K2418" s="15" t="s">
        <v>22</v>
      </c>
    </row>
    <row r="2419" spans="1:11" ht="42" customHeight="1">
      <c r="A2419" s="4" t="s">
        <v>6032</v>
      </c>
      <c r="B2419" s="5" t="s">
        <v>6033</v>
      </c>
      <c r="C2419" s="5" t="s">
        <v>57</v>
      </c>
      <c r="D2419" s="5" t="s">
        <v>58</v>
      </c>
      <c r="E2419" s="5" t="s">
        <v>511</v>
      </c>
      <c r="F2419" s="9">
        <v>12</v>
      </c>
      <c r="G2419" s="9">
        <v>127</v>
      </c>
      <c r="H2419" s="5" t="s">
        <v>20</v>
      </c>
      <c r="I2419" s="5" t="s">
        <v>6034</v>
      </c>
      <c r="J2419" s="12" t="str">
        <f>HYPERLINK("https://www.boe.es/gazeta/dias/1804/02/10/pdfs/GMD-1804-12.pdf#page=3","Abrir facsímil")</f>
        <v>Abrir facsímil</v>
      </c>
      <c r="K2419" s="15" t="s">
        <v>22</v>
      </c>
    </row>
    <row r="2420" spans="1:11" ht="42" customHeight="1">
      <c r="A2420" s="4" t="s">
        <v>6035</v>
      </c>
      <c r="B2420" s="5" t="s">
        <v>6036</v>
      </c>
      <c r="C2420" s="5" t="s">
        <v>17</v>
      </c>
      <c r="D2420" s="5" t="s">
        <v>18</v>
      </c>
      <c r="E2420" s="5" t="s">
        <v>43</v>
      </c>
      <c r="F2420" s="9">
        <v>84</v>
      </c>
      <c r="G2420" s="9">
        <v>928</v>
      </c>
      <c r="H2420" s="5" t="s">
        <v>20</v>
      </c>
      <c r="I2420" s="5" t="s">
        <v>6037</v>
      </c>
      <c r="J2420" s="12" t="str">
        <f>HYPERLINK("https://www.boe.es/gazeta/dias/1804/10/19/pdfs/GMD-1804-84.pdf#page=6","Abrir facsímil")</f>
        <v>Abrir facsímil</v>
      </c>
      <c r="K2420" s="15" t="s">
        <v>22</v>
      </c>
    </row>
    <row r="2421" spans="1:11" ht="42" customHeight="1">
      <c r="A2421" s="4" t="s">
        <v>6038</v>
      </c>
      <c r="B2421" s="5" t="s">
        <v>6039</v>
      </c>
      <c r="C2421" s="5" t="s">
        <v>57</v>
      </c>
      <c r="D2421" s="5" t="s">
        <v>58</v>
      </c>
      <c r="E2421" s="5" t="s">
        <v>245</v>
      </c>
      <c r="F2421" s="9">
        <v>6</v>
      </c>
      <c r="G2421" s="9">
        <v>52</v>
      </c>
      <c r="H2421" s="5" t="s">
        <v>20</v>
      </c>
      <c r="I2421" s="5" t="s">
        <v>6040</v>
      </c>
      <c r="J2421" s="12" t="str">
        <f>HYPERLINK("https://www.boe.es/gazeta/dias/1804/01/20/pdfs/GMD-1804-6.pdf#page=4","Abrir facsímil")</f>
        <v>Abrir facsímil</v>
      </c>
      <c r="K2421" s="15" t="s">
        <v>22</v>
      </c>
    </row>
    <row r="2422" spans="1:11" ht="42" customHeight="1">
      <c r="A2422" s="4" t="s">
        <v>6041</v>
      </c>
      <c r="B2422" s="5" t="s">
        <v>6041</v>
      </c>
      <c r="C2422" s="5" t="s">
        <v>27</v>
      </c>
      <c r="D2422" s="5" t="s">
        <v>28</v>
      </c>
      <c r="E2422" s="5" t="s">
        <v>136</v>
      </c>
      <c r="F2422" s="9">
        <v>23</v>
      </c>
      <c r="G2422" s="9">
        <v>259</v>
      </c>
      <c r="H2422" s="5" t="s">
        <v>20</v>
      </c>
      <c r="I2422" s="5" t="s">
        <v>6042</v>
      </c>
      <c r="J2422" s="12" t="str">
        <f>HYPERLINK("https://www.boe.es/gazeta/dias/1804/03/20/pdfs/GMD-1804-23.pdf#page=5","Abrir facsímil")</f>
        <v>Abrir facsímil</v>
      </c>
      <c r="K2422" s="15" t="s">
        <v>22</v>
      </c>
    </row>
    <row r="2423" spans="1:11" ht="42" customHeight="1">
      <c r="A2423" s="4" t="s">
        <v>6043</v>
      </c>
      <c r="B2423" s="5" t="s">
        <v>6043</v>
      </c>
      <c r="C2423" s="5" t="s">
        <v>198</v>
      </c>
      <c r="D2423" s="5" t="s">
        <v>66</v>
      </c>
      <c r="E2423" s="5" t="s">
        <v>37</v>
      </c>
      <c r="F2423" s="9">
        <v>29</v>
      </c>
      <c r="G2423" s="9">
        <v>317</v>
      </c>
      <c r="H2423" s="5" t="s">
        <v>20</v>
      </c>
      <c r="I2423" s="5" t="s">
        <v>6044</v>
      </c>
      <c r="J2423" s="12" t="str">
        <f>HYPERLINK("https://www.boe.es/gazeta/dias/1804/04/10/pdfs/GMD-1804-29.pdf#page=7","Abrir facsímil")</f>
        <v>Abrir facsímil</v>
      </c>
      <c r="K2423" s="15" t="s">
        <v>22</v>
      </c>
    </row>
    <row r="2424" spans="1:11" ht="42" customHeight="1">
      <c r="A2424" s="4" t="s">
        <v>6045</v>
      </c>
      <c r="B2424" s="5" t="s">
        <v>6046</v>
      </c>
      <c r="C2424" s="5" t="s">
        <v>57</v>
      </c>
      <c r="D2424" s="5" t="s">
        <v>58</v>
      </c>
      <c r="E2424" s="5" t="s">
        <v>111</v>
      </c>
      <c r="F2424" s="9">
        <v>40</v>
      </c>
      <c r="G2424" s="9">
        <v>443</v>
      </c>
      <c r="H2424" s="5" t="s">
        <v>20</v>
      </c>
      <c r="I2424" s="5" t="s">
        <v>6047</v>
      </c>
      <c r="J2424" s="12" t="str">
        <f>HYPERLINK("https://www.boe.es/gazeta/dias/1804/05/18/pdfs/GMD-1804-40.pdf#page=5","Abrir facsímil")</f>
        <v>Abrir facsímil</v>
      </c>
      <c r="K2424" s="15" t="s">
        <v>22</v>
      </c>
    </row>
    <row r="2425" spans="1:11" ht="42" customHeight="1">
      <c r="A2425" s="4" t="s">
        <v>6048</v>
      </c>
      <c r="B2425" s="5" t="s">
        <v>6049</v>
      </c>
      <c r="C2425" s="5" t="s">
        <v>85</v>
      </c>
      <c r="D2425" s="5" t="s">
        <v>86</v>
      </c>
      <c r="E2425" s="5" t="s">
        <v>111</v>
      </c>
      <c r="F2425" s="9">
        <v>40</v>
      </c>
      <c r="G2425" s="9">
        <v>443</v>
      </c>
      <c r="H2425" s="5" t="s">
        <v>20</v>
      </c>
      <c r="I2425" s="5" t="s">
        <v>6050</v>
      </c>
      <c r="J2425" s="12" t="str">
        <f>HYPERLINK("https://www.boe.es/gazeta/dias/1804/05/18/pdfs/GMD-1804-40.pdf#page=5","Abrir facsímil")</f>
        <v>Abrir facsímil</v>
      </c>
      <c r="K2425" s="15" t="s">
        <v>22</v>
      </c>
    </row>
    <row r="2426" spans="1:11" ht="42" customHeight="1">
      <c r="A2426" s="4" t="s">
        <v>6051</v>
      </c>
      <c r="B2426" s="5" t="s">
        <v>6051</v>
      </c>
      <c r="C2426" s="5" t="s">
        <v>57</v>
      </c>
      <c r="D2426" s="5" t="s">
        <v>58</v>
      </c>
      <c r="E2426" s="5" t="s">
        <v>736</v>
      </c>
      <c r="F2426" s="9">
        <v>83</v>
      </c>
      <c r="G2426" s="9">
        <v>914</v>
      </c>
      <c r="H2426" s="5" t="s">
        <v>20</v>
      </c>
      <c r="I2426" s="5" t="s">
        <v>6052</v>
      </c>
      <c r="J2426" s="12" t="str">
        <f>HYPERLINK("https://www.boe.es/gazeta/dias/1804/10/16/pdfs/GMD-1804-83.pdf#page=4","Abrir facsímil")</f>
        <v>Abrir facsímil</v>
      </c>
      <c r="K2426" s="15" t="s">
        <v>22</v>
      </c>
    </row>
    <row r="2427" spans="1:11" ht="42" customHeight="1">
      <c r="A2427" s="4" t="s">
        <v>6053</v>
      </c>
      <c r="B2427" s="5" t="s">
        <v>6054</v>
      </c>
      <c r="C2427" s="5" t="s">
        <v>57</v>
      </c>
      <c r="D2427" s="5" t="s">
        <v>58</v>
      </c>
      <c r="E2427" s="5" t="s">
        <v>736</v>
      </c>
      <c r="F2427" s="9">
        <v>83</v>
      </c>
      <c r="G2427" s="9">
        <v>914</v>
      </c>
      <c r="H2427" s="5" t="s">
        <v>20</v>
      </c>
      <c r="I2427" s="5" t="s">
        <v>6055</v>
      </c>
      <c r="J2427" s="12" t="str">
        <f>HYPERLINK("https://www.boe.es/gazeta/dias/1804/10/16/pdfs/GMD-1804-83.pdf#page=4","Abrir facsímil")</f>
        <v>Abrir facsímil</v>
      </c>
      <c r="K2427" s="15" t="s">
        <v>22</v>
      </c>
    </row>
    <row r="2428" spans="1:11" ht="42" customHeight="1">
      <c r="A2428" s="4" t="s">
        <v>6056</v>
      </c>
      <c r="B2428" s="5" t="s">
        <v>6057</v>
      </c>
      <c r="C2428" s="5" t="s">
        <v>57</v>
      </c>
      <c r="D2428" s="5" t="s">
        <v>58</v>
      </c>
      <c r="E2428" s="5" t="s">
        <v>251</v>
      </c>
      <c r="F2428" s="9">
        <v>79</v>
      </c>
      <c r="G2428" s="9">
        <v>875</v>
      </c>
      <c r="H2428" s="5" t="s">
        <v>20</v>
      </c>
      <c r="I2428" s="5" t="s">
        <v>6058</v>
      </c>
      <c r="J2428" s="12" t="str">
        <f>HYPERLINK("https://www.boe.es/gazeta/dias/1804/10/02/pdfs/GMD-1804-79.pdf#page=5","Abrir facsímil")</f>
        <v>Abrir facsímil</v>
      </c>
      <c r="K2428" s="15" t="s">
        <v>22</v>
      </c>
    </row>
    <row r="2429" spans="1:11" ht="42" customHeight="1">
      <c r="A2429" s="4" t="s">
        <v>6059</v>
      </c>
      <c r="B2429" s="5" t="s">
        <v>6060</v>
      </c>
      <c r="C2429" s="5" t="s">
        <v>85</v>
      </c>
      <c r="D2429" s="5" t="s">
        <v>86</v>
      </c>
      <c r="E2429" s="5" t="s">
        <v>75</v>
      </c>
      <c r="F2429" s="9">
        <v>16</v>
      </c>
      <c r="G2429" s="9">
        <v>170</v>
      </c>
      <c r="H2429" s="5" t="s">
        <v>20</v>
      </c>
      <c r="I2429" s="5" t="s">
        <v>6061</v>
      </c>
      <c r="J2429" s="12" t="str">
        <f>HYPERLINK("https://www.boe.es/gazeta/dias/1804/02/24/pdfs/GMD-1804-16.pdf#page=6","Abrir facsímil")</f>
        <v>Abrir facsímil</v>
      </c>
      <c r="K2429" s="15" t="s">
        <v>22</v>
      </c>
    </row>
    <row r="2430" spans="1:11" ht="42" customHeight="1">
      <c r="A2430" s="4" t="s">
        <v>6062</v>
      </c>
      <c r="B2430" s="5" t="s">
        <v>6063</v>
      </c>
      <c r="C2430" s="5" t="s">
        <v>65</v>
      </c>
      <c r="D2430" s="5" t="s">
        <v>66</v>
      </c>
      <c r="E2430" s="5" t="s">
        <v>427</v>
      </c>
      <c r="F2430" s="9">
        <v>80</v>
      </c>
      <c r="G2430" s="9">
        <v>886</v>
      </c>
      <c r="H2430" s="5" t="s">
        <v>20</v>
      </c>
      <c r="I2430" s="5" t="s">
        <v>6064</v>
      </c>
      <c r="J2430" s="12" t="str">
        <f>HYPERLINK("https://www.boe.es/gazeta/dias/1804/10/05/pdfs/GMD-1804-80.pdf#page=4","Abrir facsímil")</f>
        <v>Abrir facsímil</v>
      </c>
      <c r="K2430" s="15" t="s">
        <v>22</v>
      </c>
    </row>
    <row r="2431" spans="1:11" ht="42" customHeight="1">
      <c r="A2431" s="4" t="s">
        <v>6062</v>
      </c>
      <c r="B2431" s="5" t="s">
        <v>6063</v>
      </c>
      <c r="C2431" s="5" t="s">
        <v>65</v>
      </c>
      <c r="D2431" s="5" t="s">
        <v>66</v>
      </c>
      <c r="E2431" s="5" t="s">
        <v>43</v>
      </c>
      <c r="F2431" s="9">
        <v>84</v>
      </c>
      <c r="G2431" s="9">
        <v>924</v>
      </c>
      <c r="H2431" s="5" t="s">
        <v>20</v>
      </c>
      <c r="I2431" s="5" t="s">
        <v>6065</v>
      </c>
      <c r="J2431" s="12" t="str">
        <f>HYPERLINK("https://www.boe.es/gazeta/dias/1804/10/19/pdfs/GMD-1804-84.pdf#page=2","Abrir facsímil")</f>
        <v>Abrir facsímil</v>
      </c>
      <c r="K2431" s="15" t="s">
        <v>22</v>
      </c>
    </row>
    <row r="2432" spans="1:11" ht="42" customHeight="1">
      <c r="A2432" s="4" t="s">
        <v>6062</v>
      </c>
      <c r="B2432" s="5" t="s">
        <v>6063</v>
      </c>
      <c r="C2432" s="5" t="s">
        <v>17</v>
      </c>
      <c r="D2432" s="5" t="s">
        <v>18</v>
      </c>
      <c r="E2432" s="5" t="s">
        <v>950</v>
      </c>
      <c r="F2432" s="9">
        <v>90</v>
      </c>
      <c r="G2432" s="9">
        <v>997</v>
      </c>
      <c r="H2432" s="5" t="s">
        <v>20</v>
      </c>
      <c r="I2432" s="5" t="s">
        <v>6066</v>
      </c>
      <c r="J2432" s="12" t="str">
        <f>HYPERLINK("https://www.boe.es/gazeta/dias/1804/11/09/pdfs/GMD-1804-90.pdf#page=5","Abrir facsímil")</f>
        <v>Abrir facsímil</v>
      </c>
      <c r="K2432" s="15" t="s">
        <v>22</v>
      </c>
    </row>
    <row r="2433" spans="1:11" ht="42" customHeight="1">
      <c r="A2433" s="4" t="s">
        <v>6062</v>
      </c>
      <c r="B2433" s="5" t="s">
        <v>6063</v>
      </c>
      <c r="C2433" s="5" t="s">
        <v>57</v>
      </c>
      <c r="D2433" s="5" t="s">
        <v>58</v>
      </c>
      <c r="E2433" s="5" t="s">
        <v>526</v>
      </c>
      <c r="F2433" s="9">
        <v>95</v>
      </c>
      <c r="G2433" s="9">
        <v>1049</v>
      </c>
      <c r="H2433" s="5" t="s">
        <v>20</v>
      </c>
      <c r="I2433" s="5" t="s">
        <v>6067</v>
      </c>
      <c r="J2433" s="12" t="str">
        <f>HYPERLINK("https://www.boe.es/gazeta/dias/1804/11/27/pdfs/GMD-1804-95.pdf#page=1","Abrir facsímil")</f>
        <v>Abrir facsímil</v>
      </c>
      <c r="K2433" s="15" t="s">
        <v>22</v>
      </c>
    </row>
    <row r="2434" spans="1:11" ht="42" customHeight="1">
      <c r="A2434" s="4" t="s">
        <v>6068</v>
      </c>
      <c r="B2434" s="5" t="s">
        <v>6069</v>
      </c>
      <c r="C2434" s="5" t="s">
        <v>57</v>
      </c>
      <c r="D2434" s="5" t="s">
        <v>58</v>
      </c>
      <c r="E2434" s="5" t="s">
        <v>1449</v>
      </c>
      <c r="F2434" s="9">
        <v>8</v>
      </c>
      <c r="G2434" s="9">
        <v>82</v>
      </c>
      <c r="H2434" s="5" t="s">
        <v>20</v>
      </c>
      <c r="I2434" s="5" t="s">
        <v>6070</v>
      </c>
      <c r="J2434" s="12" t="str">
        <f>HYPERLINK("https://www.boe.es/gazeta/dias/1804/01/27/pdfs/GMD-1804-8.pdf#page=6","Abrir facsímil")</f>
        <v>Abrir facsímil</v>
      </c>
      <c r="K2434" s="15" t="s">
        <v>22</v>
      </c>
    </row>
    <row r="2435" spans="1:11" ht="42" customHeight="1">
      <c r="A2435" s="4" t="s">
        <v>6068</v>
      </c>
      <c r="B2435" s="5" t="s">
        <v>6069</v>
      </c>
      <c r="C2435" s="5" t="s">
        <v>65</v>
      </c>
      <c r="D2435" s="5" t="s">
        <v>66</v>
      </c>
      <c r="E2435" s="5" t="s">
        <v>576</v>
      </c>
      <c r="F2435" s="9">
        <v>85</v>
      </c>
      <c r="G2435" s="9">
        <v>937</v>
      </c>
      <c r="H2435" s="5" t="s">
        <v>20</v>
      </c>
      <c r="I2435" s="5" t="s">
        <v>6071</v>
      </c>
      <c r="J2435" s="12" t="str">
        <f>HYPERLINK("https://www.boe.es/gazeta/dias/1804/10/23/pdfs/GMD-1804-85.pdf#page=7","Abrir facsímil")</f>
        <v>Abrir facsímil</v>
      </c>
      <c r="K2435" s="15" t="s">
        <v>22</v>
      </c>
    </row>
    <row r="2436" spans="1:11" ht="42" customHeight="1">
      <c r="A2436" s="4" t="s">
        <v>6072</v>
      </c>
      <c r="B2436" s="5" t="s">
        <v>6073</v>
      </c>
      <c r="C2436" s="5" t="s">
        <v>17</v>
      </c>
      <c r="D2436" s="5" t="s">
        <v>18</v>
      </c>
      <c r="E2436" s="5" t="s">
        <v>490</v>
      </c>
      <c r="F2436" s="9">
        <v>100</v>
      </c>
      <c r="G2436" s="9">
        <v>1111</v>
      </c>
      <c r="H2436" s="5" t="s">
        <v>20</v>
      </c>
      <c r="I2436" s="5" t="s">
        <v>6074</v>
      </c>
      <c r="J2436" s="12" t="str">
        <f>HYPERLINK("https://www.boe.es/gazeta/dias/1804/12/14/pdfs/GMD-1804-100.pdf#page=3","Abrir facsímil")</f>
        <v>Abrir facsímil</v>
      </c>
      <c r="K2436" s="15" t="s">
        <v>22</v>
      </c>
    </row>
    <row r="2437" spans="1:11" ht="42" customHeight="1">
      <c r="A2437" s="4" t="s">
        <v>6075</v>
      </c>
      <c r="B2437" s="5" t="s">
        <v>6076</v>
      </c>
      <c r="C2437" s="5" t="s">
        <v>57</v>
      </c>
      <c r="D2437" s="5" t="s">
        <v>58</v>
      </c>
      <c r="E2437" s="5" t="s">
        <v>794</v>
      </c>
      <c r="F2437" s="9">
        <v>42</v>
      </c>
      <c r="G2437" s="9">
        <v>467</v>
      </c>
      <c r="H2437" s="5" t="s">
        <v>20</v>
      </c>
      <c r="I2437" s="5" t="s">
        <v>6077</v>
      </c>
      <c r="J2437" s="12" t="str">
        <f>HYPERLINK("https://www.boe.es/gazeta/dias/1804/05/25/pdfs/GMD-1804-42.pdf#page=5","Abrir facsímil")</f>
        <v>Abrir facsímil</v>
      </c>
      <c r="K2437" s="15" t="s">
        <v>22</v>
      </c>
    </row>
    <row r="2438" spans="1:11" ht="42" customHeight="1">
      <c r="A2438" s="4" t="s">
        <v>6078</v>
      </c>
      <c r="B2438" s="5" t="s">
        <v>6078</v>
      </c>
      <c r="C2438" s="5" t="s">
        <v>57</v>
      </c>
      <c r="D2438" s="5" t="s">
        <v>58</v>
      </c>
      <c r="E2438" s="5" t="s">
        <v>23</v>
      </c>
      <c r="F2438" s="9">
        <v>91</v>
      </c>
      <c r="G2438" s="9">
        <v>1003</v>
      </c>
      <c r="H2438" s="5" t="s">
        <v>20</v>
      </c>
      <c r="I2438" s="5" t="s">
        <v>6079</v>
      </c>
      <c r="J2438" s="12" t="str">
        <f>HYPERLINK("https://www.boe.es/gazeta/dias/1804/11/13/pdfs/GMD-1804-91.pdf#page=3","Abrir facsímil")</f>
        <v>Abrir facsímil</v>
      </c>
      <c r="K2438" s="15" t="s">
        <v>22</v>
      </c>
    </row>
    <row r="2439" spans="1:11" ht="42" customHeight="1">
      <c r="A2439" s="4" t="s">
        <v>6078</v>
      </c>
      <c r="B2439" s="5" t="s">
        <v>6078</v>
      </c>
      <c r="C2439" s="5" t="s">
        <v>17</v>
      </c>
      <c r="D2439" s="5" t="s">
        <v>18</v>
      </c>
      <c r="E2439" s="5" t="s">
        <v>308</v>
      </c>
      <c r="F2439" s="9">
        <v>96</v>
      </c>
      <c r="G2439" s="9">
        <v>1066</v>
      </c>
      <c r="H2439" s="5" t="s">
        <v>20</v>
      </c>
      <c r="I2439" s="5" t="s">
        <v>6080</v>
      </c>
      <c r="J2439" s="12" t="str">
        <f>HYPERLINK("https://www.boe.es/gazeta/dias/1804/11/30/pdfs/GMD-1804-96.pdf#page=6","Abrir facsímil")</f>
        <v>Abrir facsímil</v>
      </c>
      <c r="K2439" s="15" t="s">
        <v>22</v>
      </c>
    </row>
    <row r="2440" spans="1:11" ht="42" customHeight="1">
      <c r="A2440" s="4" t="s">
        <v>6081</v>
      </c>
      <c r="B2440" s="5" t="s">
        <v>6082</v>
      </c>
      <c r="C2440" s="5" t="s">
        <v>27</v>
      </c>
      <c r="D2440" s="5" t="s">
        <v>28</v>
      </c>
      <c r="E2440" s="5" t="s">
        <v>212</v>
      </c>
      <c r="F2440" s="9">
        <v>89</v>
      </c>
      <c r="G2440" s="9">
        <v>987</v>
      </c>
      <c r="H2440" s="5" t="s">
        <v>20</v>
      </c>
      <c r="I2440" s="5" t="s">
        <v>6083</v>
      </c>
      <c r="J2440" s="12" t="str">
        <f>HYPERLINK("https://www.boe.es/gazeta/dias/1804/11/06/pdfs/GMD-1804-89.pdf#page=7","Abrir facsímil")</f>
        <v>Abrir facsímil</v>
      </c>
      <c r="K2440" s="15" t="s">
        <v>22</v>
      </c>
    </row>
    <row r="2441" spans="1:11" ht="42" customHeight="1">
      <c r="A2441" s="4" t="s">
        <v>6084</v>
      </c>
      <c r="B2441" s="5" t="s">
        <v>6084</v>
      </c>
      <c r="C2441" s="5" t="s">
        <v>85</v>
      </c>
      <c r="D2441" s="5" t="s">
        <v>86</v>
      </c>
      <c r="E2441" s="5" t="s">
        <v>208</v>
      </c>
      <c r="F2441" s="9">
        <v>97</v>
      </c>
      <c r="G2441" s="9">
        <v>1074</v>
      </c>
      <c r="H2441" s="5" t="s">
        <v>20</v>
      </c>
      <c r="I2441" s="5" t="s">
        <v>6085</v>
      </c>
      <c r="J2441" s="12" t="str">
        <f>HYPERLINK("https://www.boe.es/gazeta/dias/1804/12/04/pdfs/GMD-1804-97.pdf#page=2","Abrir facsímil")</f>
        <v>Abrir facsímil</v>
      </c>
      <c r="K2441" s="15" t="s">
        <v>22</v>
      </c>
    </row>
    <row r="2442" spans="1:11" ht="42" customHeight="1">
      <c r="A2442" s="4" t="s">
        <v>6086</v>
      </c>
      <c r="B2442" s="5" t="s">
        <v>6087</v>
      </c>
      <c r="C2442" s="5" t="s">
        <v>27</v>
      </c>
      <c r="D2442" s="5" t="s">
        <v>28</v>
      </c>
      <c r="E2442" s="5" t="s">
        <v>155</v>
      </c>
      <c r="F2442" s="9">
        <v>92</v>
      </c>
      <c r="G2442" s="9">
        <v>1017</v>
      </c>
      <c r="H2442" s="5" t="s">
        <v>20</v>
      </c>
      <c r="I2442" s="5" t="s">
        <v>6088</v>
      </c>
      <c r="J2442" s="12" t="str">
        <f>HYPERLINK("https://www.boe.es/gazeta/dias/1804/11/16/pdfs/GMD-1804-92.pdf#page=5","Abrir facsímil")</f>
        <v>Abrir facsímil</v>
      </c>
      <c r="K2442" s="15" t="s">
        <v>22</v>
      </c>
    </row>
    <row r="2443" spans="1:11" ht="42" customHeight="1">
      <c r="A2443" s="4" t="s">
        <v>6089</v>
      </c>
      <c r="B2443" s="5" t="s">
        <v>6090</v>
      </c>
      <c r="C2443" s="5" t="s">
        <v>57</v>
      </c>
      <c r="D2443" s="5" t="s">
        <v>58</v>
      </c>
      <c r="E2443" s="5" t="s">
        <v>484</v>
      </c>
      <c r="F2443" s="9">
        <v>53</v>
      </c>
      <c r="G2443" s="9">
        <v>584</v>
      </c>
      <c r="H2443" s="5" t="s">
        <v>20</v>
      </c>
      <c r="I2443" s="5" t="s">
        <v>6091</v>
      </c>
      <c r="J2443" s="12" t="str">
        <f>HYPERLINK("https://www.boe.es/gazeta/dias/1804/07/03/pdfs/GMD-1804-53.pdf#page=2","Abrir facsímil")</f>
        <v>Abrir facsímil</v>
      </c>
      <c r="K2443" s="15" t="s">
        <v>22</v>
      </c>
    </row>
    <row r="2444" spans="1:11" ht="42" customHeight="1">
      <c r="A2444" s="4" t="s">
        <v>6089</v>
      </c>
      <c r="B2444" s="5" t="s">
        <v>6090</v>
      </c>
      <c r="C2444" s="5" t="s">
        <v>57</v>
      </c>
      <c r="D2444" s="5" t="s">
        <v>58</v>
      </c>
      <c r="E2444" s="5" t="s">
        <v>59</v>
      </c>
      <c r="F2444" s="9">
        <v>55</v>
      </c>
      <c r="G2444" s="9">
        <v>604</v>
      </c>
      <c r="H2444" s="5" t="s">
        <v>20</v>
      </c>
      <c r="I2444" s="5" t="s">
        <v>6092</v>
      </c>
      <c r="J2444" s="12" t="str">
        <f>HYPERLINK("https://www.boe.es/gazeta/dias/1804/07/10/pdfs/GMD-1804-55.pdf#page=2","Abrir facsímil")</f>
        <v>Abrir facsímil</v>
      </c>
      <c r="K2444" s="15" t="s">
        <v>22</v>
      </c>
    </row>
    <row r="2445" spans="1:11" ht="42" customHeight="1">
      <c r="A2445" s="4" t="s">
        <v>6089</v>
      </c>
      <c r="B2445" s="5" t="s">
        <v>6090</v>
      </c>
      <c r="C2445" s="5" t="s">
        <v>57</v>
      </c>
      <c r="D2445" s="5" t="s">
        <v>58</v>
      </c>
      <c r="E2445" s="5" t="s">
        <v>576</v>
      </c>
      <c r="F2445" s="9">
        <v>85</v>
      </c>
      <c r="G2445" s="9">
        <v>936</v>
      </c>
      <c r="H2445" s="5" t="s">
        <v>20</v>
      </c>
      <c r="I2445" s="5" t="s">
        <v>6093</v>
      </c>
      <c r="J2445" s="12" t="str">
        <f>HYPERLINK("https://www.boe.es/gazeta/dias/1804/10/23/pdfs/GMD-1804-85.pdf#page=6","Abrir facsímil")</f>
        <v>Abrir facsímil</v>
      </c>
      <c r="K2445" s="15" t="s">
        <v>22</v>
      </c>
    </row>
    <row r="2446" spans="1:11" ht="42" customHeight="1">
      <c r="A2446" s="4" t="s">
        <v>6089</v>
      </c>
      <c r="B2446" s="5" t="s">
        <v>6090</v>
      </c>
      <c r="C2446" s="5" t="s">
        <v>27</v>
      </c>
      <c r="D2446" s="5" t="s">
        <v>28</v>
      </c>
      <c r="E2446" s="5" t="s">
        <v>234</v>
      </c>
      <c r="F2446" s="9">
        <v>86</v>
      </c>
      <c r="G2446" s="9">
        <v>945</v>
      </c>
      <c r="H2446" s="5" t="s">
        <v>20</v>
      </c>
      <c r="I2446" s="5" t="s">
        <v>6094</v>
      </c>
      <c r="J2446" s="12" t="str">
        <f>HYPERLINK("https://www.boe.es/gazeta/dias/1804/10/26/pdfs/GMD-1804-86.pdf#page=3","Abrir facsímil")</f>
        <v>Abrir facsímil</v>
      </c>
      <c r="K2446" s="15" t="s">
        <v>22</v>
      </c>
    </row>
    <row r="2447" spans="1:11" ht="42" customHeight="1">
      <c r="A2447" s="4" t="s">
        <v>6089</v>
      </c>
      <c r="B2447" s="5" t="s">
        <v>6090</v>
      </c>
      <c r="C2447" s="5" t="s">
        <v>57</v>
      </c>
      <c r="D2447" s="5" t="s">
        <v>58</v>
      </c>
      <c r="E2447" s="5" t="s">
        <v>526</v>
      </c>
      <c r="F2447" s="9">
        <v>95</v>
      </c>
      <c r="G2447" s="9">
        <v>1053</v>
      </c>
      <c r="H2447" s="5" t="s">
        <v>20</v>
      </c>
      <c r="I2447" s="5" t="s">
        <v>6095</v>
      </c>
      <c r="J2447" s="12" t="str">
        <f>HYPERLINK("https://www.boe.es/gazeta/dias/1804/11/27/pdfs/GMD-1804-95.pdf#page=5","Abrir facsímil")</f>
        <v>Abrir facsímil</v>
      </c>
      <c r="K2447" s="15" t="s">
        <v>22</v>
      </c>
    </row>
    <row r="2448" spans="1:11" ht="42" customHeight="1">
      <c r="A2448" s="4" t="s">
        <v>6096</v>
      </c>
      <c r="B2448" s="5" t="s">
        <v>6096</v>
      </c>
      <c r="C2448" s="5" t="s">
        <v>57</v>
      </c>
      <c r="D2448" s="5" t="s">
        <v>58</v>
      </c>
      <c r="E2448" s="5" t="s">
        <v>208</v>
      </c>
      <c r="F2448" s="9">
        <v>97</v>
      </c>
      <c r="G2448" s="9">
        <v>1074</v>
      </c>
      <c r="H2448" s="5" t="s">
        <v>20</v>
      </c>
      <c r="I2448" s="5" t="s">
        <v>6097</v>
      </c>
      <c r="J2448" s="12" t="str">
        <f>HYPERLINK("https://www.boe.es/gazeta/dias/1804/12/04/pdfs/GMD-1804-97.pdf#page=2","Abrir facsímil")</f>
        <v>Abrir facsímil</v>
      </c>
      <c r="K2448" s="15" t="s">
        <v>22</v>
      </c>
    </row>
    <row r="2449" spans="1:11" ht="42" customHeight="1">
      <c r="A2449" s="4" t="s">
        <v>6098</v>
      </c>
      <c r="B2449" s="5" t="s">
        <v>6099</v>
      </c>
      <c r="C2449" s="5" t="s">
        <v>57</v>
      </c>
      <c r="D2449" s="5" t="s">
        <v>58</v>
      </c>
      <c r="E2449" s="5" t="s">
        <v>226</v>
      </c>
      <c r="F2449" s="9">
        <v>17</v>
      </c>
      <c r="G2449" s="9">
        <v>183</v>
      </c>
      <c r="H2449" s="5" t="s">
        <v>20</v>
      </c>
      <c r="I2449" s="5" t="s">
        <v>6100</v>
      </c>
      <c r="J2449" s="12" t="str">
        <f>HYPERLINK("https://www.boe.es/gazeta/dias/1804/02/28/pdfs/GMD-1804-17.pdf#page=3","Abrir facsímil")</f>
        <v>Abrir facsímil</v>
      </c>
      <c r="K2449" s="15" t="s">
        <v>22</v>
      </c>
    </row>
    <row r="2450" spans="1:11" ht="42" customHeight="1">
      <c r="A2450" s="4" t="s">
        <v>6101</v>
      </c>
      <c r="B2450" s="5" t="s">
        <v>6102</v>
      </c>
      <c r="C2450" s="5" t="s">
        <v>57</v>
      </c>
      <c r="D2450" s="5" t="s">
        <v>58</v>
      </c>
      <c r="E2450" s="5" t="s">
        <v>140</v>
      </c>
      <c r="F2450" s="9">
        <v>39</v>
      </c>
      <c r="G2450" s="9">
        <v>431</v>
      </c>
      <c r="H2450" s="5" t="s">
        <v>20</v>
      </c>
      <c r="I2450" s="5" t="s">
        <v>6103</v>
      </c>
      <c r="J2450" s="12" t="str">
        <f>HYPERLINK("https://www.boe.es/gazeta/dias/1804/05/15/pdfs/GMD-1804-39.pdf#page=5","Abrir facsímil")</f>
        <v>Abrir facsímil</v>
      </c>
      <c r="K2450" s="15" t="s">
        <v>22</v>
      </c>
    </row>
    <row r="2451" spans="1:11" ht="42" customHeight="1">
      <c r="A2451" s="4" t="s">
        <v>6104</v>
      </c>
      <c r="B2451" s="5" t="s">
        <v>6104</v>
      </c>
      <c r="C2451" s="5" t="s">
        <v>85</v>
      </c>
      <c r="D2451" s="5" t="s">
        <v>86</v>
      </c>
      <c r="E2451" s="5" t="s">
        <v>857</v>
      </c>
      <c r="F2451" s="9">
        <v>28</v>
      </c>
      <c r="G2451" s="9">
        <v>306</v>
      </c>
      <c r="H2451" s="5" t="s">
        <v>20</v>
      </c>
      <c r="I2451" s="5" t="s">
        <v>6105</v>
      </c>
      <c r="J2451" s="12" t="str">
        <f>HYPERLINK("https://www.boe.es/gazeta/dias/1804/04/06/pdfs/GMD-1804-28.pdf#page=4","Abrir facsímil")</f>
        <v>Abrir facsímil</v>
      </c>
      <c r="K2451" s="15" t="s">
        <v>22</v>
      </c>
    </row>
    <row r="2452" spans="1:11" ht="42" customHeight="1">
      <c r="A2452" s="4" t="s">
        <v>6106</v>
      </c>
      <c r="B2452" s="5" t="s">
        <v>6106</v>
      </c>
      <c r="C2452" s="5" t="s">
        <v>57</v>
      </c>
      <c r="D2452" s="5" t="s">
        <v>58</v>
      </c>
      <c r="E2452" s="5" t="s">
        <v>172</v>
      </c>
      <c r="F2452" s="9">
        <v>38</v>
      </c>
      <c r="G2452" s="9">
        <v>421</v>
      </c>
      <c r="H2452" s="5" t="s">
        <v>20</v>
      </c>
      <c r="I2452" s="5" t="s">
        <v>6107</v>
      </c>
      <c r="J2452" s="12" t="str">
        <f>HYPERLINK("https://www.boe.es/gazeta/dias/1804/05/11/pdfs/GMD-1804-38.pdf#page=7","Abrir facsímil")</f>
        <v>Abrir facsímil</v>
      </c>
      <c r="K2452" s="15" t="s">
        <v>22</v>
      </c>
    </row>
    <row r="2453" spans="1:11" ht="42" customHeight="1">
      <c r="A2453" s="4" t="s">
        <v>6108</v>
      </c>
      <c r="B2453" s="5" t="s">
        <v>6108</v>
      </c>
      <c r="C2453" s="5" t="s">
        <v>27</v>
      </c>
      <c r="D2453" s="5" t="s">
        <v>28</v>
      </c>
      <c r="E2453" s="5" t="s">
        <v>29</v>
      </c>
      <c r="F2453" s="9">
        <v>88</v>
      </c>
      <c r="G2453" s="9">
        <v>975</v>
      </c>
      <c r="H2453" s="5" t="s">
        <v>20</v>
      </c>
      <c r="I2453" s="5" t="s">
        <v>6109</v>
      </c>
      <c r="J2453" s="12" t="str">
        <f>HYPERLINK("https://www.boe.es/gazeta/dias/1804/11/02/pdfs/GMD-1804-88.pdf#page=7","Abrir facsímil")</f>
        <v>Abrir facsímil</v>
      </c>
      <c r="K2453" s="15" t="s">
        <v>22</v>
      </c>
    </row>
    <row r="2454" spans="1:11" ht="42" customHeight="1">
      <c r="A2454" s="4" t="s">
        <v>6110</v>
      </c>
      <c r="B2454" s="5" t="s">
        <v>6110</v>
      </c>
      <c r="C2454" s="5" t="s">
        <v>57</v>
      </c>
      <c r="D2454" s="5" t="s">
        <v>58</v>
      </c>
      <c r="E2454" s="5" t="s">
        <v>623</v>
      </c>
      <c r="F2454" s="9">
        <v>51</v>
      </c>
      <c r="G2454" s="9">
        <v>557</v>
      </c>
      <c r="H2454" s="5" t="s">
        <v>20</v>
      </c>
      <c r="I2454" s="5" t="s">
        <v>6111</v>
      </c>
      <c r="J2454" s="12" t="str">
        <f>HYPERLINK("https://www.boe.es/gazeta/dias/1804/06/26/pdfs/GMD-1804-51.pdf#page=3","Abrir facsímil")</f>
        <v>Abrir facsímil</v>
      </c>
      <c r="K2454" s="15" t="s">
        <v>22</v>
      </c>
    </row>
    <row r="2455" spans="1:11" ht="42" customHeight="1">
      <c r="A2455" s="4" t="s">
        <v>6112</v>
      </c>
      <c r="B2455" s="5" t="s">
        <v>6113</v>
      </c>
      <c r="C2455" s="5" t="s">
        <v>27</v>
      </c>
      <c r="D2455" s="5" t="s">
        <v>28</v>
      </c>
      <c r="E2455" s="5" t="s">
        <v>163</v>
      </c>
      <c r="F2455" s="9">
        <v>70</v>
      </c>
      <c r="G2455" s="9">
        <v>782</v>
      </c>
      <c r="H2455" s="5" t="s">
        <v>20</v>
      </c>
      <c r="I2455" s="5" t="s">
        <v>6114</v>
      </c>
      <c r="J2455" s="12" t="str">
        <f>HYPERLINK("https://www.boe.es/gazeta/dias/1804/08/31/pdfs/GMD-1804-70.pdf#page=4","Abrir facsímil")</f>
        <v>Abrir facsímil</v>
      </c>
      <c r="K2455" s="15" t="s">
        <v>22</v>
      </c>
    </row>
    <row r="2456" spans="1:11" ht="42" customHeight="1">
      <c r="A2456" s="4" t="s">
        <v>6115</v>
      </c>
      <c r="B2456" s="5" t="s">
        <v>6116</v>
      </c>
      <c r="C2456" s="5" t="s">
        <v>57</v>
      </c>
      <c r="D2456" s="5" t="s">
        <v>58</v>
      </c>
      <c r="E2456" s="5" t="s">
        <v>97</v>
      </c>
      <c r="F2456" s="9">
        <v>50</v>
      </c>
      <c r="G2456" s="9">
        <v>551</v>
      </c>
      <c r="H2456" s="5" t="s">
        <v>20</v>
      </c>
      <c r="I2456" s="5" t="s">
        <v>6117</v>
      </c>
      <c r="J2456" s="12" t="str">
        <f>HYPERLINK("https://www.boe.es/gazeta/dias/1804/06/22/pdfs/GMD-1804-50.pdf#page=5","Abrir facsímil")</f>
        <v>Abrir facsímil</v>
      </c>
      <c r="K2456" s="15" t="s">
        <v>22</v>
      </c>
    </row>
    <row r="2457" spans="1:11" ht="42" customHeight="1">
      <c r="A2457" s="4" t="s">
        <v>6118</v>
      </c>
      <c r="B2457" s="5" t="s">
        <v>6119</v>
      </c>
      <c r="C2457" s="5" t="s">
        <v>57</v>
      </c>
      <c r="D2457" s="5" t="s">
        <v>58</v>
      </c>
      <c r="E2457" s="5" t="s">
        <v>106</v>
      </c>
      <c r="F2457" s="9">
        <v>34</v>
      </c>
      <c r="G2457" s="9">
        <v>373</v>
      </c>
      <c r="H2457" s="5" t="s">
        <v>20</v>
      </c>
      <c r="I2457" s="5" t="s">
        <v>6120</v>
      </c>
      <c r="J2457" s="12" t="str">
        <f>HYPERLINK("https://www.boe.es/gazeta/dias/1804/04/27/pdfs/GMD-1804-34.pdf#page=3","Abrir facsímil")</f>
        <v>Abrir facsímil</v>
      </c>
      <c r="K2457" s="15" t="s">
        <v>22</v>
      </c>
    </row>
    <row r="2458" spans="1:11" ht="42" customHeight="1">
      <c r="A2458" s="4" t="s">
        <v>6121</v>
      </c>
      <c r="B2458" s="5" t="s">
        <v>6122</v>
      </c>
      <c r="C2458" s="5" t="s">
        <v>27</v>
      </c>
      <c r="D2458" s="5" t="s">
        <v>28</v>
      </c>
      <c r="E2458" s="5" t="s">
        <v>75</v>
      </c>
      <c r="F2458" s="9">
        <v>16</v>
      </c>
      <c r="G2458" s="9">
        <v>168</v>
      </c>
      <c r="H2458" s="5" t="s">
        <v>20</v>
      </c>
      <c r="I2458" s="5" t="s">
        <v>6123</v>
      </c>
      <c r="J2458" s="12" t="str">
        <f>HYPERLINK("https://www.boe.es/gazeta/dias/1804/02/24/pdfs/GMD-1804-16.pdf#page=4","Abrir facsímil")</f>
        <v>Abrir facsímil</v>
      </c>
      <c r="K2458" s="15" t="s">
        <v>22</v>
      </c>
    </row>
    <row r="2459" spans="1:11" ht="42" customHeight="1">
      <c r="A2459" s="4" t="s">
        <v>6121</v>
      </c>
      <c r="B2459" s="5" t="s">
        <v>6122</v>
      </c>
      <c r="C2459" s="5" t="s">
        <v>57</v>
      </c>
      <c r="D2459" s="5" t="s">
        <v>58</v>
      </c>
      <c r="E2459" s="5" t="s">
        <v>106</v>
      </c>
      <c r="F2459" s="9">
        <v>34</v>
      </c>
      <c r="G2459" s="9">
        <v>372</v>
      </c>
      <c r="H2459" s="5" t="s">
        <v>20</v>
      </c>
      <c r="I2459" s="5" t="s">
        <v>6124</v>
      </c>
      <c r="J2459" s="12" t="str">
        <f>HYPERLINK("https://www.boe.es/gazeta/dias/1804/04/27/pdfs/GMD-1804-34.pdf#page=2","Abrir facsímil")</f>
        <v>Abrir facsímil</v>
      </c>
      <c r="K2459" s="15" t="s">
        <v>22</v>
      </c>
    </row>
    <row r="2460" spans="1:11" ht="42" customHeight="1">
      <c r="A2460" s="4" t="s">
        <v>6121</v>
      </c>
      <c r="B2460" s="5" t="s">
        <v>6122</v>
      </c>
      <c r="C2460" s="5" t="s">
        <v>57</v>
      </c>
      <c r="D2460" s="5" t="s">
        <v>58</v>
      </c>
      <c r="E2460" s="5" t="s">
        <v>172</v>
      </c>
      <c r="F2460" s="9">
        <v>38</v>
      </c>
      <c r="G2460" s="9">
        <v>417</v>
      </c>
      <c r="H2460" s="5" t="s">
        <v>20</v>
      </c>
      <c r="I2460" s="5" t="s">
        <v>6125</v>
      </c>
      <c r="J2460" s="12" t="str">
        <f>HYPERLINK("https://www.boe.es/gazeta/dias/1804/05/11/pdfs/GMD-1804-38.pdf#page=3","Abrir facsímil")</f>
        <v>Abrir facsímil</v>
      </c>
      <c r="K2460" s="15" t="s">
        <v>22</v>
      </c>
    </row>
    <row r="2461" spans="1:11" ht="42" customHeight="1">
      <c r="A2461" s="4" t="s">
        <v>6126</v>
      </c>
      <c r="B2461" s="5" t="s">
        <v>6126</v>
      </c>
      <c r="C2461" s="5" t="s">
        <v>57</v>
      </c>
      <c r="D2461" s="5" t="s">
        <v>58</v>
      </c>
      <c r="E2461" s="5" t="s">
        <v>1449</v>
      </c>
      <c r="F2461" s="9">
        <v>8</v>
      </c>
      <c r="G2461" s="9">
        <v>82</v>
      </c>
      <c r="H2461" s="5" t="s">
        <v>20</v>
      </c>
      <c r="I2461" s="5" t="s">
        <v>6127</v>
      </c>
      <c r="J2461" s="12" t="str">
        <f>HYPERLINK("https://www.boe.es/gazeta/dias/1804/01/27/pdfs/GMD-1804-8.pdf#page=6","Abrir facsímil")</f>
        <v>Abrir facsímil</v>
      </c>
      <c r="K2461" s="15" t="s">
        <v>22</v>
      </c>
    </row>
    <row r="2462" spans="1:11" ht="42" customHeight="1">
      <c r="A2462" s="4" t="s">
        <v>6128</v>
      </c>
      <c r="B2462" s="5" t="s">
        <v>6129</v>
      </c>
      <c r="C2462" s="5" t="s">
        <v>57</v>
      </c>
      <c r="D2462" s="5" t="s">
        <v>58</v>
      </c>
      <c r="E2462" s="5" t="s">
        <v>147</v>
      </c>
      <c r="F2462" s="9">
        <v>77</v>
      </c>
      <c r="G2462" s="9">
        <v>853</v>
      </c>
      <c r="H2462" s="5" t="s">
        <v>20</v>
      </c>
      <c r="I2462" s="5" t="s">
        <v>6130</v>
      </c>
      <c r="J2462" s="12" t="str">
        <f>HYPERLINK("https://www.boe.es/gazeta/dias/1804/09/25/pdfs/GMD-1804-77.pdf#page=3","Abrir facsímil")</f>
        <v>Abrir facsímil</v>
      </c>
      <c r="K2462" s="15" t="s">
        <v>22</v>
      </c>
    </row>
    <row r="2463" spans="1:11" ht="42" customHeight="1">
      <c r="A2463" s="4" t="s">
        <v>6131</v>
      </c>
      <c r="B2463" s="5" t="s">
        <v>6131</v>
      </c>
      <c r="C2463" s="5" t="s">
        <v>27</v>
      </c>
      <c r="D2463" s="5" t="s">
        <v>28</v>
      </c>
      <c r="E2463" s="5" t="s">
        <v>37</v>
      </c>
      <c r="F2463" s="9">
        <v>29</v>
      </c>
      <c r="G2463" s="9">
        <v>313</v>
      </c>
      <c r="H2463" s="5" t="s">
        <v>20</v>
      </c>
      <c r="I2463" s="5" t="s">
        <v>6132</v>
      </c>
      <c r="J2463" s="12" t="str">
        <f>HYPERLINK("https://www.boe.es/gazeta/dias/1804/04/10/pdfs/GMD-1804-29.pdf#page=3","Abrir facsímil")</f>
        <v>Abrir facsímil</v>
      </c>
      <c r="K2463" s="15" t="s">
        <v>22</v>
      </c>
    </row>
    <row r="2464" spans="1:11" ht="42" customHeight="1">
      <c r="A2464" s="4" t="s">
        <v>6133</v>
      </c>
      <c r="B2464" s="5" t="s">
        <v>6134</v>
      </c>
      <c r="C2464" s="5" t="s">
        <v>27</v>
      </c>
      <c r="D2464" s="5" t="s">
        <v>28</v>
      </c>
      <c r="E2464" s="5" t="s">
        <v>709</v>
      </c>
      <c r="F2464" s="9">
        <v>82</v>
      </c>
      <c r="G2464" s="9">
        <v>906</v>
      </c>
      <c r="H2464" s="5" t="s">
        <v>20</v>
      </c>
      <c r="I2464" s="5" t="s">
        <v>6135</v>
      </c>
      <c r="J2464" s="12" t="str">
        <f>HYPERLINK("https://www.boe.es/gazeta/dias/1804/10/12/pdfs/GMD-1804-82.pdf#page=8","Abrir facsímil")</f>
        <v>Abrir facsímil</v>
      </c>
      <c r="K2464" s="15" t="s">
        <v>22</v>
      </c>
    </row>
    <row r="2465" spans="1:11" ht="42" customHeight="1">
      <c r="A2465" s="4" t="s">
        <v>6136</v>
      </c>
      <c r="B2465" s="5" t="s">
        <v>6137</v>
      </c>
      <c r="C2465" s="5" t="s">
        <v>57</v>
      </c>
      <c r="D2465" s="5" t="s">
        <v>58</v>
      </c>
      <c r="E2465" s="5" t="s">
        <v>587</v>
      </c>
      <c r="F2465" s="9">
        <v>62</v>
      </c>
      <c r="G2465" s="9">
        <v>680</v>
      </c>
      <c r="H2465" s="5" t="s">
        <v>20</v>
      </c>
      <c r="I2465" s="5" t="s">
        <v>6138</v>
      </c>
      <c r="J2465" s="12" t="str">
        <f>HYPERLINK("https://www.boe.es/gazeta/dias/1804/08/03/pdfs/GMD-1804-62.pdf#page=2","Abrir facsímil")</f>
        <v>Abrir facsímil</v>
      </c>
      <c r="K2465" s="15" t="s">
        <v>22</v>
      </c>
    </row>
    <row r="2466" spans="1:11" ht="42" customHeight="1">
      <c r="A2466" s="4" t="s">
        <v>6139</v>
      </c>
      <c r="B2466" s="5" t="s">
        <v>6140</v>
      </c>
      <c r="C2466" s="5" t="s">
        <v>57</v>
      </c>
      <c r="D2466" s="5" t="s">
        <v>58</v>
      </c>
      <c r="E2466" s="5" t="s">
        <v>19</v>
      </c>
      <c r="F2466" s="9">
        <v>60</v>
      </c>
      <c r="G2466" s="9">
        <v>661</v>
      </c>
      <c r="H2466" s="5" t="s">
        <v>20</v>
      </c>
      <c r="I2466" s="5" t="s">
        <v>6141</v>
      </c>
      <c r="J2466" s="12" t="str">
        <f>HYPERLINK("https://www.boe.es/gazeta/dias/1804/07/27/pdfs/GMD-1804-60.pdf#page=3","Abrir facsímil")</f>
        <v>Abrir facsímil</v>
      </c>
      <c r="K2466" s="15" t="s">
        <v>22</v>
      </c>
    </row>
    <row r="2467" spans="1:11" ht="42" customHeight="1">
      <c r="A2467" s="4" t="s">
        <v>6139</v>
      </c>
      <c r="B2467" s="5" t="s">
        <v>6140</v>
      </c>
      <c r="C2467" s="5" t="s">
        <v>198</v>
      </c>
      <c r="D2467" s="5" t="s">
        <v>66</v>
      </c>
      <c r="E2467" s="5" t="s">
        <v>54</v>
      </c>
      <c r="F2467" s="9">
        <v>63</v>
      </c>
      <c r="G2467" s="9">
        <v>691</v>
      </c>
      <c r="H2467" s="5" t="s">
        <v>20</v>
      </c>
      <c r="I2467" s="5" t="s">
        <v>6142</v>
      </c>
      <c r="J2467" s="12" t="str">
        <f>HYPERLINK("https://www.boe.es/gazeta/dias/1804/08/07/pdfs/GMD-1804-63.pdf#page=1","Abrir facsímil")</f>
        <v>Abrir facsímil</v>
      </c>
      <c r="K2467" s="15" t="s">
        <v>22</v>
      </c>
    </row>
    <row r="2468" spans="1:11" ht="42" customHeight="1">
      <c r="A2468" s="4" t="s">
        <v>6143</v>
      </c>
      <c r="B2468" s="5" t="s">
        <v>6144</v>
      </c>
      <c r="C2468" s="5" t="s">
        <v>57</v>
      </c>
      <c r="D2468" s="5" t="s">
        <v>58</v>
      </c>
      <c r="E2468" s="5" t="s">
        <v>61</v>
      </c>
      <c r="F2468" s="9">
        <v>61</v>
      </c>
      <c r="G2468" s="9">
        <v>674</v>
      </c>
      <c r="H2468" s="5" t="s">
        <v>20</v>
      </c>
      <c r="I2468" s="5" t="s">
        <v>6145</v>
      </c>
      <c r="J2468" s="12" t="str">
        <f>HYPERLINK("https://www.boe.es/gazeta/dias/1804/07/31/pdfs/GMD-1804-61.pdf#page=4","Abrir facsímil")</f>
        <v>Abrir facsímil</v>
      </c>
      <c r="K2468" s="15" t="s">
        <v>22</v>
      </c>
    </row>
    <row r="2469" spans="1:11" ht="42" customHeight="1">
      <c r="A2469" s="4" t="s">
        <v>6146</v>
      </c>
      <c r="B2469" s="5" t="s">
        <v>6146</v>
      </c>
      <c r="C2469" s="5" t="s">
        <v>85</v>
      </c>
      <c r="D2469" s="5" t="s">
        <v>86</v>
      </c>
      <c r="E2469" s="5" t="s">
        <v>421</v>
      </c>
      <c r="F2469" s="9">
        <v>47</v>
      </c>
      <c r="G2469" s="9">
        <v>530</v>
      </c>
      <c r="H2469" s="5" t="s">
        <v>20</v>
      </c>
      <c r="I2469" s="5" t="s">
        <v>6147</v>
      </c>
      <c r="J2469" s="12" t="str">
        <f>HYPERLINK("https://www.boe.es/gazeta/dias/1804/06/12/pdfs/GMD-1804-47.pdf#page=12","Abrir facsímil")</f>
        <v>Abrir facsímil</v>
      </c>
      <c r="K2469" s="15" t="s">
        <v>22</v>
      </c>
    </row>
    <row r="2470" spans="1:11" ht="42" customHeight="1">
      <c r="A2470" s="4" t="s">
        <v>6148</v>
      </c>
      <c r="B2470" s="5" t="s">
        <v>6149</v>
      </c>
      <c r="C2470" s="5" t="s">
        <v>57</v>
      </c>
      <c r="D2470" s="5" t="s">
        <v>58</v>
      </c>
      <c r="E2470" s="5" t="s">
        <v>308</v>
      </c>
      <c r="F2470" s="9">
        <v>96</v>
      </c>
      <c r="G2470" s="9">
        <v>1064</v>
      </c>
      <c r="H2470" s="5" t="s">
        <v>20</v>
      </c>
      <c r="I2470" s="5" t="s">
        <v>6150</v>
      </c>
      <c r="J2470" s="12" t="str">
        <f>HYPERLINK("https://www.boe.es/gazeta/dias/1804/11/30/pdfs/GMD-1804-96.pdf#page=4","Abrir facsímil")</f>
        <v>Abrir facsímil</v>
      </c>
      <c r="K2470" s="15" t="s">
        <v>22</v>
      </c>
    </row>
    <row r="2471" spans="1:11" ht="42" customHeight="1">
      <c r="A2471" s="4" t="s">
        <v>6151</v>
      </c>
      <c r="B2471" s="5" t="s">
        <v>6152</v>
      </c>
      <c r="C2471" s="5" t="s">
        <v>27</v>
      </c>
      <c r="D2471" s="5" t="s">
        <v>28</v>
      </c>
      <c r="E2471" s="5" t="s">
        <v>950</v>
      </c>
      <c r="F2471" s="9">
        <v>90</v>
      </c>
      <c r="G2471" s="9">
        <v>999</v>
      </c>
      <c r="H2471" s="5" t="s">
        <v>20</v>
      </c>
      <c r="I2471" s="5" t="s">
        <v>6153</v>
      </c>
      <c r="J2471" s="12" t="str">
        <f>HYPERLINK("https://www.boe.es/gazeta/dias/1804/11/09/pdfs/GMD-1804-90.pdf#page=7","Abrir facsímil")</f>
        <v>Abrir facsímil</v>
      </c>
      <c r="K2471" s="15" t="s">
        <v>22</v>
      </c>
    </row>
    <row r="2472" spans="1:11" ht="42" customHeight="1">
      <c r="A2472" s="4" t="s">
        <v>6154</v>
      </c>
      <c r="B2472" s="5" t="s">
        <v>6155</v>
      </c>
      <c r="C2472" s="5" t="s">
        <v>85</v>
      </c>
      <c r="D2472" s="5" t="s">
        <v>86</v>
      </c>
      <c r="E2472" s="5" t="s">
        <v>175</v>
      </c>
      <c r="F2472" s="9">
        <v>58</v>
      </c>
      <c r="G2472" s="9">
        <v>636</v>
      </c>
      <c r="H2472" s="5" t="s">
        <v>20</v>
      </c>
      <c r="I2472" s="5" t="s">
        <v>6156</v>
      </c>
      <c r="J2472" s="12" t="str">
        <f>HYPERLINK("https://www.boe.es/gazeta/dias/1804/07/20/pdfs/GMD-1804-58.pdf#page=2","Abrir facsímil")</f>
        <v>Abrir facsímil</v>
      </c>
      <c r="K2472" s="15" t="s">
        <v>22</v>
      </c>
    </row>
    <row r="2473" spans="1:11" ht="42" customHeight="1">
      <c r="A2473" s="4" t="s">
        <v>6154</v>
      </c>
      <c r="B2473" s="5" t="s">
        <v>6155</v>
      </c>
      <c r="C2473" s="5" t="s">
        <v>65</v>
      </c>
      <c r="D2473" s="5" t="s">
        <v>66</v>
      </c>
      <c r="E2473" s="5" t="s">
        <v>360</v>
      </c>
      <c r="F2473" s="9">
        <v>81</v>
      </c>
      <c r="G2473" s="9">
        <v>891</v>
      </c>
      <c r="H2473" s="5" t="s">
        <v>20</v>
      </c>
      <c r="I2473" s="5" t="s">
        <v>6157</v>
      </c>
      <c r="J2473" s="12" t="str">
        <f>HYPERLINK("https://www.boe.es/gazeta/dias/1804/10/09/pdfs/GMD-1804-81.pdf#page=1","Abrir facsímil")</f>
        <v>Abrir facsímil</v>
      </c>
      <c r="K2473" s="15" t="s">
        <v>22</v>
      </c>
    </row>
    <row r="2474" spans="1:11" ht="42" customHeight="1">
      <c r="A2474" s="4" t="s">
        <v>6158</v>
      </c>
      <c r="B2474" s="5" t="s">
        <v>6159</v>
      </c>
      <c r="C2474" s="5" t="s">
        <v>85</v>
      </c>
      <c r="D2474" s="5" t="s">
        <v>86</v>
      </c>
      <c r="E2474" s="5" t="s">
        <v>484</v>
      </c>
      <c r="F2474" s="9">
        <v>53</v>
      </c>
      <c r="G2474" s="9">
        <v>594</v>
      </c>
      <c r="H2474" s="5" t="s">
        <v>20</v>
      </c>
      <c r="I2474" s="5" t="s">
        <v>6160</v>
      </c>
      <c r="J2474" s="12" t="str">
        <f>HYPERLINK("https://www.boe.es/gazeta/dias/1804/07/03/pdfs/GMD-1804-53.pdf#page=12","Abrir facsímil")</f>
        <v>Abrir facsímil</v>
      </c>
      <c r="K2474" s="15" t="s">
        <v>22</v>
      </c>
    </row>
    <row r="2475" spans="1:11" ht="42" customHeight="1">
      <c r="A2475" s="4" t="s">
        <v>6161</v>
      </c>
      <c r="B2475" s="5" t="s">
        <v>6162</v>
      </c>
      <c r="C2475" s="5" t="s">
        <v>27</v>
      </c>
      <c r="D2475" s="5" t="s">
        <v>28</v>
      </c>
      <c r="E2475" s="5" t="s">
        <v>272</v>
      </c>
      <c r="F2475" s="9">
        <v>30</v>
      </c>
      <c r="G2475" s="9">
        <v>332</v>
      </c>
      <c r="H2475" s="5" t="s">
        <v>20</v>
      </c>
      <c r="I2475" s="5" t="s">
        <v>6163</v>
      </c>
      <c r="J2475" s="12" t="str">
        <f>HYPERLINK("https://www.boe.es/gazeta/dias/1804/04/13/pdfs/GMD-1804-30.pdf#page=10","Abrir facsímil")</f>
        <v>Abrir facsímil</v>
      </c>
      <c r="K2475" s="15" t="s">
        <v>22</v>
      </c>
    </row>
    <row r="2476" spans="1:11" ht="42" customHeight="1">
      <c r="A2476" s="4" t="s">
        <v>6164</v>
      </c>
      <c r="B2476" s="5" t="s">
        <v>6164</v>
      </c>
      <c r="C2476" s="5" t="s">
        <v>17</v>
      </c>
      <c r="D2476" s="5" t="s">
        <v>18</v>
      </c>
      <c r="E2476" s="5" t="s">
        <v>1278</v>
      </c>
      <c r="F2476" s="9">
        <v>37</v>
      </c>
      <c r="G2476" s="9">
        <v>410</v>
      </c>
      <c r="H2476" s="5" t="s">
        <v>20</v>
      </c>
      <c r="I2476" s="5" t="s">
        <v>6165</v>
      </c>
      <c r="J2476" s="12" t="str">
        <f>HYPERLINK("https://www.boe.es/gazeta/dias/1804/05/08/pdfs/GMD-1804-37.pdf#page=8","Abrir facsímil")</f>
        <v>Abrir facsímil</v>
      </c>
      <c r="K2476" s="15" t="s">
        <v>22</v>
      </c>
    </row>
    <row r="2477" spans="1:11" ht="42" customHeight="1">
      <c r="A2477" s="4" t="s">
        <v>6166</v>
      </c>
      <c r="B2477" s="5" t="s">
        <v>6167</v>
      </c>
      <c r="C2477" s="5" t="s">
        <v>57</v>
      </c>
      <c r="D2477" s="5" t="s">
        <v>58</v>
      </c>
      <c r="E2477" s="5" t="s">
        <v>704</v>
      </c>
      <c r="F2477" s="9">
        <v>36</v>
      </c>
      <c r="G2477" s="9">
        <v>396</v>
      </c>
      <c r="H2477" s="5" t="s">
        <v>20</v>
      </c>
      <c r="I2477" s="5" t="s">
        <v>6168</v>
      </c>
      <c r="J2477" s="12" t="str">
        <f>HYPERLINK("https://www.boe.es/gazeta/dias/1804/05/04/pdfs/GMD-1804-36.pdf#page=6","Abrir facsímil")</f>
        <v>Abrir facsímil</v>
      </c>
      <c r="K2477" s="15" t="s">
        <v>22</v>
      </c>
    </row>
    <row r="2478" spans="1:11" ht="42" customHeight="1">
      <c r="A2478" s="4" t="s">
        <v>6169</v>
      </c>
      <c r="B2478" s="5" t="s">
        <v>6169</v>
      </c>
      <c r="C2478" s="5" t="s">
        <v>27</v>
      </c>
      <c r="D2478" s="5" t="s">
        <v>28</v>
      </c>
      <c r="E2478" s="5" t="s">
        <v>143</v>
      </c>
      <c r="F2478" s="9">
        <v>87</v>
      </c>
      <c r="G2478" s="9">
        <v>963</v>
      </c>
      <c r="H2478" s="5" t="s">
        <v>20</v>
      </c>
      <c r="I2478" s="5" t="s">
        <v>6170</v>
      </c>
      <c r="J2478" s="12" t="str">
        <f>HYPERLINK("https://www.boe.es/gazeta/dias/1804/10/30/pdfs/GMD-1804-87.pdf#page=7","Abrir facsímil")</f>
        <v>Abrir facsímil</v>
      </c>
      <c r="K2478" s="15" t="s">
        <v>22</v>
      </c>
    </row>
    <row r="2479" spans="1:11" ht="42" customHeight="1">
      <c r="A2479" s="4" t="s">
        <v>6171</v>
      </c>
      <c r="B2479" s="5" t="s">
        <v>6171</v>
      </c>
      <c r="C2479" s="5" t="s">
        <v>27</v>
      </c>
      <c r="D2479" s="5" t="s">
        <v>28</v>
      </c>
      <c r="E2479" s="5" t="s">
        <v>206</v>
      </c>
      <c r="F2479" s="9">
        <v>44</v>
      </c>
      <c r="G2479" s="9">
        <v>489</v>
      </c>
      <c r="H2479" s="5" t="s">
        <v>20</v>
      </c>
      <c r="I2479" s="5" t="s">
        <v>6172</v>
      </c>
      <c r="J2479" s="12" t="str">
        <f>HYPERLINK("https://www.boe.es/gazeta/dias/1804/06/01/pdfs/GMD-1804-44.pdf#page=7","Abrir facsímil")</f>
        <v>Abrir facsímil</v>
      </c>
      <c r="K2479" s="15" t="s">
        <v>22</v>
      </c>
    </row>
    <row r="2480" spans="1:11" ht="42" customHeight="1">
      <c r="A2480" s="4" t="s">
        <v>6173</v>
      </c>
      <c r="B2480" s="5" t="s">
        <v>6174</v>
      </c>
      <c r="C2480" s="5" t="s">
        <v>120</v>
      </c>
      <c r="D2480" s="5" t="s">
        <v>121</v>
      </c>
      <c r="E2480" s="5" t="s">
        <v>33</v>
      </c>
      <c r="F2480" s="9">
        <v>48</v>
      </c>
      <c r="G2480" s="9" t="s">
        <v>122</v>
      </c>
      <c r="H2480" s="5" t="s">
        <v>20</v>
      </c>
      <c r="I2480" s="5" t="s">
        <v>6175</v>
      </c>
      <c r="J2480" s="12" t="str">
        <f>HYPERLINK("https://www.boe.es/gazeta/dias/1804/06/15/pdfs/GMD-C-1804-48.pdf#page=3","Abrir facsímil")</f>
        <v>Abrir facsímil</v>
      </c>
      <c r="K2480" s="15" t="s">
        <v>22</v>
      </c>
    </row>
    <row r="2481" spans="1:11" ht="42" customHeight="1">
      <c r="A2481" s="4" t="s">
        <v>6176</v>
      </c>
      <c r="B2481" s="5" t="s">
        <v>6177</v>
      </c>
      <c r="C2481" s="5" t="s">
        <v>27</v>
      </c>
      <c r="D2481" s="5" t="s">
        <v>28</v>
      </c>
      <c r="E2481" s="5" t="s">
        <v>704</v>
      </c>
      <c r="F2481" s="9">
        <v>36</v>
      </c>
      <c r="G2481" s="9">
        <v>400</v>
      </c>
      <c r="H2481" s="5" t="s">
        <v>20</v>
      </c>
      <c r="I2481" s="5" t="s">
        <v>6178</v>
      </c>
      <c r="J2481" s="12" t="str">
        <f>HYPERLINK("https://www.boe.es/gazeta/dias/1804/05/04/pdfs/GMD-1804-36.pdf#page=10","Abrir facsímil")</f>
        <v>Abrir facsímil</v>
      </c>
      <c r="K2481" s="15" t="s">
        <v>22</v>
      </c>
    </row>
    <row r="2482" spans="1:11" ht="42" customHeight="1">
      <c r="A2482" s="4" t="s">
        <v>6179</v>
      </c>
      <c r="B2482" s="5" t="s">
        <v>6180</v>
      </c>
      <c r="C2482" s="5" t="s">
        <v>27</v>
      </c>
      <c r="D2482" s="5" t="s">
        <v>28</v>
      </c>
      <c r="E2482" s="5" t="s">
        <v>308</v>
      </c>
      <c r="F2482" s="9">
        <v>96</v>
      </c>
      <c r="G2482" s="9">
        <v>1068</v>
      </c>
      <c r="H2482" s="5" t="s">
        <v>20</v>
      </c>
      <c r="I2482" s="5" t="s">
        <v>6181</v>
      </c>
      <c r="J2482" s="12" t="str">
        <f>HYPERLINK("https://www.boe.es/gazeta/dias/1804/11/30/pdfs/GMD-1804-96.pdf#page=8","Abrir facsímil")</f>
        <v>Abrir facsímil</v>
      </c>
      <c r="K2482" s="15" t="s">
        <v>22</v>
      </c>
    </row>
    <row r="2483" spans="1:11" ht="42" customHeight="1">
      <c r="A2483" s="4" t="s">
        <v>6182</v>
      </c>
      <c r="B2483" s="5" t="s">
        <v>6182</v>
      </c>
      <c r="C2483" s="5" t="s">
        <v>120</v>
      </c>
      <c r="D2483" s="5" t="s">
        <v>121</v>
      </c>
      <c r="E2483" s="5" t="s">
        <v>33</v>
      </c>
      <c r="F2483" s="9">
        <v>48</v>
      </c>
      <c r="G2483" s="9" t="s">
        <v>819</v>
      </c>
      <c r="H2483" s="5" t="s">
        <v>20</v>
      </c>
      <c r="I2483" s="5" t="s">
        <v>6183</v>
      </c>
      <c r="J2483" s="12" t="str">
        <f>HYPERLINK("https://www.boe.es/gazeta/dias/1804/06/15/pdfs/GMD-C-1804-48.pdf#page=4","Abrir facsímil")</f>
        <v>Abrir facsímil</v>
      </c>
      <c r="K2483" s="15" t="s">
        <v>22</v>
      </c>
    </row>
    <row r="2484" spans="1:11" ht="42" customHeight="1">
      <c r="A2484" s="4" t="s">
        <v>6184</v>
      </c>
      <c r="B2484" s="5" t="s">
        <v>6184</v>
      </c>
      <c r="C2484" s="5" t="s">
        <v>65</v>
      </c>
      <c r="D2484" s="5" t="s">
        <v>66</v>
      </c>
      <c r="E2484" s="5" t="s">
        <v>350</v>
      </c>
      <c r="F2484" s="9">
        <v>19</v>
      </c>
      <c r="G2484" s="9">
        <v>210</v>
      </c>
      <c r="H2484" s="5" t="s">
        <v>20</v>
      </c>
      <c r="I2484" s="5" t="s">
        <v>6185</v>
      </c>
      <c r="J2484" s="12" t="str">
        <f>HYPERLINK("https://www.boe.es/gazeta/dias/1804/03/06/pdfs/GMD-1804-19.pdf#page=10","Abrir facsímil")</f>
        <v>Abrir facsímil</v>
      </c>
      <c r="K2484" s="15" t="s">
        <v>22</v>
      </c>
    </row>
    <row r="2485" spans="1:11" ht="42" customHeight="1">
      <c r="A2485" s="4" t="s">
        <v>6186</v>
      </c>
      <c r="B2485" s="5" t="s">
        <v>6186</v>
      </c>
      <c r="C2485" s="5" t="s">
        <v>65</v>
      </c>
      <c r="D2485" s="5" t="s">
        <v>66</v>
      </c>
      <c r="E2485" s="5" t="s">
        <v>332</v>
      </c>
      <c r="F2485" s="9">
        <v>66</v>
      </c>
      <c r="G2485" s="9">
        <v>741</v>
      </c>
      <c r="H2485" s="5" t="s">
        <v>20</v>
      </c>
      <c r="I2485" s="5" t="s">
        <v>6187</v>
      </c>
      <c r="J2485" s="12" t="str">
        <f>HYPERLINK("https://www.boe.es/gazeta/dias/1804/08/17/pdfs/GMD-1804-66.pdf#page=7","Abrir facsímil")</f>
        <v>Abrir facsímil</v>
      </c>
      <c r="K2485" s="15" t="s">
        <v>22</v>
      </c>
    </row>
    <row r="2486" spans="1:11" ht="42" customHeight="1">
      <c r="A2486" s="4" t="s">
        <v>6188</v>
      </c>
      <c r="B2486" s="5" t="s">
        <v>6189</v>
      </c>
      <c r="C2486" s="5" t="s">
        <v>27</v>
      </c>
      <c r="D2486" s="5" t="s">
        <v>28</v>
      </c>
      <c r="E2486" s="5" t="s">
        <v>308</v>
      </c>
      <c r="F2486" s="9">
        <v>96</v>
      </c>
      <c r="G2486" s="9">
        <v>1068</v>
      </c>
      <c r="H2486" s="5" t="s">
        <v>20</v>
      </c>
      <c r="I2486" s="5" t="s">
        <v>6190</v>
      </c>
      <c r="J2486" s="12" t="str">
        <f>HYPERLINK("https://www.boe.es/gazeta/dias/1804/11/30/pdfs/GMD-1804-96.pdf#page=8","Abrir facsímil")</f>
        <v>Abrir facsímil</v>
      </c>
      <c r="K2486" s="15" t="s">
        <v>22</v>
      </c>
    </row>
    <row r="2487" spans="1:11" ht="42" customHeight="1">
      <c r="A2487" s="4" t="s">
        <v>6191</v>
      </c>
      <c r="B2487" s="5" t="s">
        <v>6192</v>
      </c>
      <c r="C2487" s="5" t="s">
        <v>17</v>
      </c>
      <c r="D2487" s="5" t="s">
        <v>18</v>
      </c>
      <c r="E2487" s="5" t="s">
        <v>159</v>
      </c>
      <c r="F2487" s="9">
        <v>15</v>
      </c>
      <c r="G2487" s="9">
        <v>163</v>
      </c>
      <c r="H2487" s="5" t="s">
        <v>20</v>
      </c>
      <c r="I2487" s="5" t="s">
        <v>6193</v>
      </c>
      <c r="J2487" s="12" t="str">
        <f>HYPERLINK("https://www.boe.es/gazeta/dias/1804/02/21/pdfs/GMD-1804-15.pdf#page=7","Abrir facsímil")</f>
        <v>Abrir facsímil</v>
      </c>
      <c r="K2487" s="15" t="s">
        <v>22</v>
      </c>
    </row>
    <row r="2488" spans="1:11" ht="42" customHeight="1">
      <c r="A2488" s="4" t="s">
        <v>6194</v>
      </c>
      <c r="B2488" s="5" t="s">
        <v>6195</v>
      </c>
      <c r="C2488" s="5" t="s">
        <v>198</v>
      </c>
      <c r="D2488" s="5" t="s">
        <v>66</v>
      </c>
      <c r="E2488" s="5" t="s">
        <v>258</v>
      </c>
      <c r="F2488" s="9">
        <v>14</v>
      </c>
      <c r="G2488" s="9">
        <v>156</v>
      </c>
      <c r="H2488" s="5" t="s">
        <v>20</v>
      </c>
      <c r="I2488" s="5" t="s">
        <v>6196</v>
      </c>
      <c r="J2488" s="12" t="str">
        <f>HYPERLINK("https://www.boe.es/gazeta/dias/1804/02/17/pdfs/GMD-1804-14.pdf#page=12","Abrir facsímil")</f>
        <v>Abrir facsímil</v>
      </c>
      <c r="K2488" s="15" t="s">
        <v>22</v>
      </c>
    </row>
    <row r="2489" spans="1:11" ht="42" customHeight="1">
      <c r="A2489" s="4" t="s">
        <v>6197</v>
      </c>
      <c r="B2489" s="5" t="s">
        <v>6198</v>
      </c>
      <c r="C2489" s="5" t="s">
        <v>17</v>
      </c>
      <c r="D2489" s="5" t="s">
        <v>18</v>
      </c>
      <c r="E2489" s="5" t="s">
        <v>199</v>
      </c>
      <c r="F2489" s="9">
        <v>46</v>
      </c>
      <c r="G2489" s="9">
        <v>512</v>
      </c>
      <c r="H2489" s="5" t="s">
        <v>20</v>
      </c>
      <c r="I2489" s="5" t="s">
        <v>6199</v>
      </c>
      <c r="J2489" s="12" t="str">
        <f>HYPERLINK("https://www.boe.es/gazeta/dias/1804/06/08/pdfs/GMD-1804-46.pdf#page=10","Abrir facsímil")</f>
        <v>Abrir facsímil</v>
      </c>
      <c r="K2489" s="15" t="s">
        <v>22</v>
      </c>
    </row>
    <row r="2490" spans="1:11" ht="42" customHeight="1">
      <c r="A2490" s="4" t="s">
        <v>6200</v>
      </c>
      <c r="B2490" s="5" t="s">
        <v>6201</v>
      </c>
      <c r="C2490" s="5" t="s">
        <v>120</v>
      </c>
      <c r="D2490" s="5" t="s">
        <v>121</v>
      </c>
      <c r="E2490" s="5" t="s">
        <v>33</v>
      </c>
      <c r="F2490" s="9">
        <v>48</v>
      </c>
      <c r="G2490" s="9" t="s">
        <v>122</v>
      </c>
      <c r="H2490" s="5" t="s">
        <v>20</v>
      </c>
      <c r="I2490" s="5" t="s">
        <v>6202</v>
      </c>
      <c r="J2490" s="12" t="str">
        <f>HYPERLINK("https://www.boe.es/gazeta/dias/1804/06/15/pdfs/GMD-C-1804-48.pdf#page=3","Abrir facsímil")</f>
        <v>Abrir facsímil</v>
      </c>
      <c r="K2490" s="15" t="s">
        <v>22</v>
      </c>
    </row>
    <row r="2491" spans="1:11" ht="42" customHeight="1">
      <c r="A2491" s="4" t="s">
        <v>6203</v>
      </c>
      <c r="B2491" s="5" t="s">
        <v>6204</v>
      </c>
      <c r="C2491" s="5" t="s">
        <v>17</v>
      </c>
      <c r="D2491" s="5" t="s">
        <v>18</v>
      </c>
      <c r="E2491" s="5" t="s">
        <v>367</v>
      </c>
      <c r="F2491" s="9">
        <v>64</v>
      </c>
      <c r="G2491" s="9">
        <v>713</v>
      </c>
      <c r="H2491" s="5" t="s">
        <v>20</v>
      </c>
      <c r="I2491" s="5" t="s">
        <v>6205</v>
      </c>
      <c r="J2491" s="12" t="str">
        <f>HYPERLINK("https://www.boe.es/gazeta/dias/1804/08/10/pdfs/GMD-1804-64.pdf#page=7","Abrir facsímil")</f>
        <v>Abrir facsímil</v>
      </c>
      <c r="K2491" s="15" t="s">
        <v>22</v>
      </c>
    </row>
    <row r="2492" spans="1:11" ht="42" customHeight="1">
      <c r="A2492" s="4" t="s">
        <v>6206</v>
      </c>
      <c r="B2492" s="5" t="s">
        <v>6207</v>
      </c>
      <c r="C2492" s="5" t="s">
        <v>65</v>
      </c>
      <c r="D2492" s="5" t="s">
        <v>66</v>
      </c>
      <c r="E2492" s="5" t="s">
        <v>111</v>
      </c>
      <c r="F2492" s="9">
        <v>40</v>
      </c>
      <c r="G2492" s="9">
        <v>448</v>
      </c>
      <c r="H2492" s="5" t="s">
        <v>20</v>
      </c>
      <c r="I2492" s="5" t="s">
        <v>6208</v>
      </c>
      <c r="J2492" s="12" t="str">
        <f>HYPERLINK("https://www.boe.es/gazeta/dias/1804/05/18/pdfs/GMD-1804-40.pdf#page=10","Abrir facsímil")</f>
        <v>Abrir facsímil</v>
      </c>
      <c r="K2492" s="15" t="s">
        <v>22</v>
      </c>
    </row>
    <row r="2493" spans="1:11" ht="42" customHeight="1">
      <c r="A2493" s="4" t="s">
        <v>6206</v>
      </c>
      <c r="B2493" s="5" t="s">
        <v>6207</v>
      </c>
      <c r="C2493" s="5" t="s">
        <v>120</v>
      </c>
      <c r="D2493" s="5" t="s">
        <v>121</v>
      </c>
      <c r="E2493" s="5" t="s">
        <v>33</v>
      </c>
      <c r="F2493" s="9">
        <v>48</v>
      </c>
      <c r="G2493" s="9" t="s">
        <v>98</v>
      </c>
      <c r="H2493" s="5" t="s">
        <v>20</v>
      </c>
      <c r="I2493" s="5" t="s">
        <v>6209</v>
      </c>
      <c r="J2493" s="12" t="str">
        <f>HYPERLINK("https://www.boe.es/gazeta/dias/1804/06/15/pdfs/GMD-C-1804-48.pdf#page=1","Abrir facsímil")</f>
        <v>Abrir facsímil</v>
      </c>
      <c r="K2493" s="15" t="s">
        <v>22</v>
      </c>
    </row>
    <row r="2494" spans="1:11" ht="42" customHeight="1">
      <c r="A2494" s="4" t="s">
        <v>6210</v>
      </c>
      <c r="B2494" s="5" t="s">
        <v>6211</v>
      </c>
      <c r="C2494" s="5" t="s">
        <v>120</v>
      </c>
      <c r="D2494" s="5" t="s">
        <v>121</v>
      </c>
      <c r="E2494" s="5" t="s">
        <v>33</v>
      </c>
      <c r="F2494" s="9">
        <v>48</v>
      </c>
      <c r="G2494" s="9" t="s">
        <v>819</v>
      </c>
      <c r="H2494" s="5" t="s">
        <v>20</v>
      </c>
      <c r="I2494" s="5" t="s">
        <v>6212</v>
      </c>
      <c r="J2494" s="12" t="str">
        <f>HYPERLINK("https://www.boe.es/gazeta/dias/1804/06/15/pdfs/GMD-C-1804-48.pdf#page=4","Abrir facsímil")</f>
        <v>Abrir facsímil</v>
      </c>
      <c r="K2494" s="15" t="s">
        <v>22</v>
      </c>
    </row>
    <row r="2495" spans="1:11" ht="42" customHeight="1">
      <c r="A2495" s="4" t="s">
        <v>6213</v>
      </c>
      <c r="B2495" s="5" t="s">
        <v>6214</v>
      </c>
      <c r="C2495" s="5" t="s">
        <v>85</v>
      </c>
      <c r="D2495" s="5" t="s">
        <v>86</v>
      </c>
      <c r="E2495" s="5" t="s">
        <v>97</v>
      </c>
      <c r="F2495" s="9">
        <v>50</v>
      </c>
      <c r="G2495" s="9">
        <v>554</v>
      </c>
      <c r="H2495" s="5" t="s">
        <v>20</v>
      </c>
      <c r="I2495" s="5" t="s">
        <v>6215</v>
      </c>
      <c r="J2495" s="12" t="str">
        <f>HYPERLINK("https://www.boe.es/gazeta/dias/1804/06/22/pdfs/GMD-1804-50.pdf#page=8","Abrir facsímil")</f>
        <v>Abrir facsímil</v>
      </c>
      <c r="K2495" s="15" t="s">
        <v>22</v>
      </c>
    </row>
    <row r="2496" spans="1:11" ht="42" customHeight="1">
      <c r="A2496" s="4" t="s">
        <v>6216</v>
      </c>
      <c r="B2496" s="5" t="s">
        <v>6217</v>
      </c>
      <c r="C2496" s="5" t="s">
        <v>27</v>
      </c>
      <c r="D2496" s="5" t="s">
        <v>28</v>
      </c>
      <c r="E2496" s="5" t="s">
        <v>272</v>
      </c>
      <c r="F2496" s="9">
        <v>30</v>
      </c>
      <c r="G2496" s="9">
        <v>330</v>
      </c>
      <c r="H2496" s="5" t="s">
        <v>20</v>
      </c>
      <c r="I2496" s="5" t="s">
        <v>6218</v>
      </c>
      <c r="J2496" s="12" t="str">
        <f>HYPERLINK("https://www.boe.es/gazeta/dias/1804/04/13/pdfs/GMD-1804-30.pdf#page=8","Abrir facsímil")</f>
        <v>Abrir facsímil</v>
      </c>
      <c r="K2496" s="15" t="s">
        <v>22</v>
      </c>
    </row>
    <row r="2497" spans="1:11" ht="42" customHeight="1">
      <c r="A2497" s="4" t="s">
        <v>6216</v>
      </c>
      <c r="B2497" s="5" t="s">
        <v>6217</v>
      </c>
      <c r="C2497" s="5" t="s">
        <v>17</v>
      </c>
      <c r="D2497" s="5" t="s">
        <v>18</v>
      </c>
      <c r="E2497" s="5" t="s">
        <v>547</v>
      </c>
      <c r="F2497" s="9">
        <v>68</v>
      </c>
      <c r="G2497" s="9">
        <v>764</v>
      </c>
      <c r="H2497" s="5" t="s">
        <v>20</v>
      </c>
      <c r="I2497" s="5" t="s">
        <v>6219</v>
      </c>
      <c r="J2497" s="12" t="str">
        <f>HYPERLINK("https://www.boe.es/gazeta/dias/1804/08/24/pdfs/GMD-1804-68.pdf#page=10","Abrir facsímil")</f>
        <v>Abrir facsímil</v>
      </c>
      <c r="K2497" s="15" t="s">
        <v>22</v>
      </c>
    </row>
    <row r="2498" spans="1:11" ht="42" customHeight="1">
      <c r="A2498" s="4" t="s">
        <v>6220</v>
      </c>
      <c r="B2498" s="5" t="s">
        <v>6221</v>
      </c>
      <c r="C2498" s="5" t="s">
        <v>65</v>
      </c>
      <c r="D2498" s="5" t="s">
        <v>66</v>
      </c>
      <c r="E2498" s="5" t="s">
        <v>111</v>
      </c>
      <c r="F2498" s="9">
        <v>40</v>
      </c>
      <c r="G2498" s="9">
        <v>449</v>
      </c>
      <c r="H2498" s="5" t="s">
        <v>20</v>
      </c>
      <c r="I2498" s="5" t="s">
        <v>6222</v>
      </c>
      <c r="J2498" s="12" t="str">
        <f>HYPERLINK("https://www.boe.es/gazeta/dias/1804/05/18/pdfs/GMD-1804-40.pdf#page=11","Abrir facsímil")</f>
        <v>Abrir facsímil</v>
      </c>
      <c r="K2498" s="15" t="s">
        <v>22</v>
      </c>
    </row>
    <row r="2499" spans="1:11" ht="42" customHeight="1">
      <c r="A2499" s="4" t="s">
        <v>6223</v>
      </c>
      <c r="B2499" s="5" t="s">
        <v>6224</v>
      </c>
      <c r="C2499" s="5" t="s">
        <v>198</v>
      </c>
      <c r="D2499" s="5" t="s">
        <v>66</v>
      </c>
      <c r="E2499" s="5" t="s">
        <v>222</v>
      </c>
      <c r="F2499" s="9">
        <v>4</v>
      </c>
      <c r="G2499" s="9">
        <v>39</v>
      </c>
      <c r="H2499" s="5" t="s">
        <v>20</v>
      </c>
      <c r="I2499" s="5" t="s">
        <v>6225</v>
      </c>
      <c r="J2499" s="12" t="str">
        <f>HYPERLINK("https://www.boe.es/gazeta/dias/1804/01/13/pdfs/GMD-1804-4.pdf#page=11","Abrir facsímil")</f>
        <v>Abrir facsímil</v>
      </c>
      <c r="K2499" s="15" t="s">
        <v>22</v>
      </c>
    </row>
    <row r="2500" spans="1:11" ht="42" customHeight="1">
      <c r="A2500" s="4" t="s">
        <v>6223</v>
      </c>
      <c r="B2500" s="5" t="s">
        <v>6224</v>
      </c>
      <c r="C2500" s="5" t="s">
        <v>198</v>
      </c>
      <c r="D2500" s="5" t="s">
        <v>66</v>
      </c>
      <c r="E2500" s="5" t="s">
        <v>136</v>
      </c>
      <c r="F2500" s="9">
        <v>23</v>
      </c>
      <c r="G2500" s="9">
        <v>264</v>
      </c>
      <c r="H2500" s="5" t="s">
        <v>20</v>
      </c>
      <c r="I2500" s="5" t="s">
        <v>6226</v>
      </c>
      <c r="J2500" s="12" t="str">
        <f>HYPERLINK("https://www.boe.es/gazeta/dias/1804/03/20/pdfs/GMD-1804-23.pdf#page=10","Abrir facsímil")</f>
        <v>Abrir facsímil</v>
      </c>
      <c r="K2500" s="15" t="s">
        <v>22</v>
      </c>
    </row>
    <row r="2501" spans="1:11" ht="42" customHeight="1">
      <c r="A2501" s="4" t="s">
        <v>6223</v>
      </c>
      <c r="B2501" s="5" t="s">
        <v>6224</v>
      </c>
      <c r="C2501" s="5" t="s">
        <v>198</v>
      </c>
      <c r="D2501" s="5" t="s">
        <v>66</v>
      </c>
      <c r="E2501" s="5" t="s">
        <v>497</v>
      </c>
      <c r="F2501" s="9">
        <v>25</v>
      </c>
      <c r="G2501" s="9">
        <v>286</v>
      </c>
      <c r="H2501" s="5" t="s">
        <v>20</v>
      </c>
      <c r="I2501" s="5" t="s">
        <v>6227</v>
      </c>
      <c r="J2501" s="12" t="str">
        <f>HYPERLINK("https://www.boe.es/gazeta/dias/1804/03/27/pdfs/GMD-1804-25.pdf#page=8","Abrir facsímil")</f>
        <v>Abrir facsímil</v>
      </c>
      <c r="K2501" s="15" t="s">
        <v>22</v>
      </c>
    </row>
    <row r="2502" spans="1:11" ht="42" customHeight="1">
      <c r="A2502" s="4" t="s">
        <v>6223</v>
      </c>
      <c r="B2502" s="5" t="s">
        <v>6224</v>
      </c>
      <c r="C2502" s="5" t="s">
        <v>198</v>
      </c>
      <c r="D2502" s="5" t="s">
        <v>66</v>
      </c>
      <c r="E2502" s="5" t="s">
        <v>111</v>
      </c>
      <c r="F2502" s="9">
        <v>40</v>
      </c>
      <c r="G2502" s="9">
        <v>450</v>
      </c>
      <c r="H2502" s="5" t="s">
        <v>20</v>
      </c>
      <c r="I2502" s="5" t="s">
        <v>6228</v>
      </c>
      <c r="J2502" s="12" t="str">
        <f>HYPERLINK("https://www.boe.es/gazeta/dias/1804/05/18/pdfs/GMD-1804-40.pdf#page=12","Abrir facsímil")</f>
        <v>Abrir facsímil</v>
      </c>
      <c r="K2502" s="15" t="s">
        <v>22</v>
      </c>
    </row>
    <row r="2503" spans="1:11" ht="42" customHeight="1">
      <c r="A2503" s="4" t="s">
        <v>6223</v>
      </c>
      <c r="B2503" s="5" t="s">
        <v>6224</v>
      </c>
      <c r="C2503" s="5" t="s">
        <v>198</v>
      </c>
      <c r="D2503" s="5" t="s">
        <v>66</v>
      </c>
      <c r="E2503" s="5" t="s">
        <v>421</v>
      </c>
      <c r="F2503" s="9">
        <v>47</v>
      </c>
      <c r="G2503" s="9">
        <v>528</v>
      </c>
      <c r="H2503" s="5" t="s">
        <v>20</v>
      </c>
      <c r="I2503" s="5" t="s">
        <v>6229</v>
      </c>
      <c r="J2503" s="12" t="str">
        <f>HYPERLINK("https://www.boe.es/gazeta/dias/1804/06/12/pdfs/GMD-1804-47.pdf#page=10","Abrir facsímil")</f>
        <v>Abrir facsímil</v>
      </c>
      <c r="K2503" s="15" t="s">
        <v>22</v>
      </c>
    </row>
    <row r="2504" spans="1:11" ht="42" customHeight="1">
      <c r="A2504" s="4" t="s">
        <v>6230</v>
      </c>
      <c r="B2504" s="5" t="s">
        <v>6231</v>
      </c>
      <c r="C2504" s="5" t="s">
        <v>198</v>
      </c>
      <c r="D2504" s="5" t="s">
        <v>66</v>
      </c>
      <c r="E2504" s="5" t="s">
        <v>1449</v>
      </c>
      <c r="F2504" s="9">
        <v>8</v>
      </c>
      <c r="G2504" s="9">
        <v>87</v>
      </c>
      <c r="H2504" s="5" t="s">
        <v>20</v>
      </c>
      <c r="I2504" s="5" t="s">
        <v>6232</v>
      </c>
      <c r="J2504" s="12" t="str">
        <f>HYPERLINK("https://www.boe.es/gazeta/dias/1804/01/27/pdfs/GMD-1804-8.pdf#page=11","Abrir facsímil")</f>
        <v>Abrir facsímil</v>
      </c>
      <c r="K2504" s="15" t="s">
        <v>22</v>
      </c>
    </row>
    <row r="2505" spans="1:11" ht="42" customHeight="1">
      <c r="A2505" s="4" t="s">
        <v>6233</v>
      </c>
      <c r="B2505" s="5" t="s">
        <v>6234</v>
      </c>
      <c r="C2505" s="5" t="s">
        <v>65</v>
      </c>
      <c r="D2505" s="5" t="s">
        <v>66</v>
      </c>
      <c r="E2505" s="5" t="s">
        <v>542</v>
      </c>
      <c r="F2505" s="9">
        <v>54</v>
      </c>
      <c r="G2505" s="9">
        <v>601</v>
      </c>
      <c r="H2505" s="5" t="s">
        <v>20</v>
      </c>
      <c r="I2505" s="5" t="s">
        <v>6235</v>
      </c>
      <c r="J2505" s="12" t="str">
        <f>HYPERLINK("https://www.boe.es/gazeta/dias/1804/07/06/pdfs/GMD-1804-54.pdf#page=7","Abrir facsímil")</f>
        <v>Abrir facsímil</v>
      </c>
      <c r="K2505" s="15" t="s">
        <v>22</v>
      </c>
    </row>
    <row r="2506" spans="1:11" ht="42" customHeight="1">
      <c r="A2506" s="4" t="s">
        <v>6236</v>
      </c>
      <c r="B2506" s="5" t="s">
        <v>6237</v>
      </c>
      <c r="C2506" s="5" t="s">
        <v>27</v>
      </c>
      <c r="D2506" s="5" t="s">
        <v>28</v>
      </c>
      <c r="E2506" s="5" t="s">
        <v>670</v>
      </c>
      <c r="F2506" s="9">
        <v>41</v>
      </c>
      <c r="G2506" s="9">
        <v>458</v>
      </c>
      <c r="H2506" s="5" t="s">
        <v>20</v>
      </c>
      <c r="I2506" s="5" t="s">
        <v>6238</v>
      </c>
      <c r="J2506" s="12" t="str">
        <f>HYPERLINK("https://www.boe.es/gazeta/dias/1804/05/22/pdfs/GMD-1804-41.pdf#page=8","Abrir facsímil")</f>
        <v>Abrir facsímil</v>
      </c>
      <c r="K2506" s="15" t="s">
        <v>22</v>
      </c>
    </row>
    <row r="2507" spans="1:11" ht="42" customHeight="1">
      <c r="A2507" s="4" t="s">
        <v>6239</v>
      </c>
      <c r="B2507" s="5" t="s">
        <v>6240</v>
      </c>
      <c r="C2507" s="5" t="s">
        <v>120</v>
      </c>
      <c r="D2507" s="5" t="s">
        <v>121</v>
      </c>
      <c r="E2507" s="5" t="s">
        <v>33</v>
      </c>
      <c r="F2507" s="9">
        <v>48</v>
      </c>
      <c r="G2507" s="9" t="s">
        <v>819</v>
      </c>
      <c r="H2507" s="5" t="s">
        <v>20</v>
      </c>
      <c r="I2507" s="5" t="s">
        <v>6241</v>
      </c>
      <c r="J2507" s="12" t="str">
        <f>HYPERLINK("https://www.boe.es/gazeta/dias/1804/06/15/pdfs/GMD-C-1804-48.pdf#page=4","Abrir facsímil")</f>
        <v>Abrir facsímil</v>
      </c>
      <c r="K2507" s="15" t="s">
        <v>22</v>
      </c>
    </row>
    <row r="2508" spans="1:11" ht="42" customHeight="1">
      <c r="A2508" s="4" t="s">
        <v>6239</v>
      </c>
      <c r="B2508" s="5" t="s">
        <v>6240</v>
      </c>
      <c r="C2508" s="5" t="s">
        <v>17</v>
      </c>
      <c r="D2508" s="5" t="s">
        <v>18</v>
      </c>
      <c r="E2508" s="5" t="s">
        <v>264</v>
      </c>
      <c r="F2508" s="9">
        <v>49</v>
      </c>
      <c r="G2508" s="9">
        <v>545</v>
      </c>
      <c r="H2508" s="5" t="s">
        <v>20</v>
      </c>
      <c r="I2508" s="5" t="s">
        <v>6242</v>
      </c>
      <c r="J2508" s="12" t="str">
        <f>HYPERLINK("https://www.boe.es/gazeta/dias/1804/06/19/pdfs/GMD-1804-49.pdf#page=7","Abrir facsímil")</f>
        <v>Abrir facsímil</v>
      </c>
      <c r="K2508" s="15" t="s">
        <v>22</v>
      </c>
    </row>
    <row r="2509" spans="1:11" ht="42" customHeight="1">
      <c r="A2509" s="4" t="s">
        <v>6243</v>
      </c>
      <c r="B2509" s="5" t="s">
        <v>6244</v>
      </c>
      <c r="C2509" s="5" t="s">
        <v>27</v>
      </c>
      <c r="D2509" s="5" t="s">
        <v>28</v>
      </c>
      <c r="E2509" s="5" t="s">
        <v>350</v>
      </c>
      <c r="F2509" s="9">
        <v>19</v>
      </c>
      <c r="G2509" s="9">
        <v>209</v>
      </c>
      <c r="H2509" s="5" t="s">
        <v>20</v>
      </c>
      <c r="I2509" s="5" t="s">
        <v>6245</v>
      </c>
      <c r="J2509" s="12" t="str">
        <f>HYPERLINK("https://www.boe.es/gazeta/dias/1804/03/06/pdfs/GMD-1804-19.pdf#page=9","Abrir facsímil")</f>
        <v>Abrir facsímil</v>
      </c>
      <c r="K2509" s="15" t="s">
        <v>22</v>
      </c>
    </row>
    <row r="2510" spans="1:11" ht="42" customHeight="1">
      <c r="A2510" s="4" t="s">
        <v>6246</v>
      </c>
      <c r="B2510" s="5" t="s">
        <v>6246</v>
      </c>
      <c r="C2510" s="5" t="s">
        <v>27</v>
      </c>
      <c r="D2510" s="5" t="s">
        <v>28</v>
      </c>
      <c r="E2510" s="5" t="s">
        <v>453</v>
      </c>
      <c r="F2510" s="9">
        <v>33</v>
      </c>
      <c r="G2510" s="9">
        <v>363</v>
      </c>
      <c r="H2510" s="5" t="s">
        <v>20</v>
      </c>
      <c r="I2510" s="5" t="s">
        <v>6247</v>
      </c>
      <c r="J2510" s="12" t="str">
        <f>HYPERLINK("https://www.boe.es/gazeta/dias/1804/04/24/pdfs/GMD-1804-33.pdf#page=5","Abrir facsímil")</f>
        <v>Abrir facsímil</v>
      </c>
      <c r="K2510" s="15" t="s">
        <v>22</v>
      </c>
    </row>
    <row r="2511" spans="1:11" ht="42" customHeight="1">
      <c r="A2511" s="4" t="s">
        <v>6248</v>
      </c>
      <c r="B2511" s="5" t="s">
        <v>6249</v>
      </c>
      <c r="C2511" s="5" t="s">
        <v>27</v>
      </c>
      <c r="D2511" s="5" t="s">
        <v>28</v>
      </c>
      <c r="E2511" s="5" t="s">
        <v>23</v>
      </c>
      <c r="F2511" s="9">
        <v>91</v>
      </c>
      <c r="G2511" s="9">
        <v>1011</v>
      </c>
      <c r="H2511" s="5" t="s">
        <v>20</v>
      </c>
      <c r="I2511" s="5" t="s">
        <v>6250</v>
      </c>
      <c r="J2511" s="12" t="str">
        <f>HYPERLINK("https://www.boe.es/gazeta/dias/1804/11/13/pdfs/GMD-1804-91.pdf#page=11","Abrir facsímil")</f>
        <v>Abrir facsímil</v>
      </c>
      <c r="K2511" s="15" t="s">
        <v>22</v>
      </c>
    </row>
    <row r="2512" spans="1:11" ht="42" customHeight="1">
      <c r="A2512" s="4" t="s">
        <v>6251</v>
      </c>
      <c r="B2512" s="5" t="s">
        <v>6251</v>
      </c>
      <c r="C2512" s="5" t="s">
        <v>17</v>
      </c>
      <c r="D2512" s="5" t="s">
        <v>18</v>
      </c>
      <c r="E2512" s="5" t="s">
        <v>547</v>
      </c>
      <c r="F2512" s="9">
        <v>68</v>
      </c>
      <c r="G2512" s="9">
        <v>764</v>
      </c>
      <c r="H2512" s="5" t="s">
        <v>20</v>
      </c>
      <c r="I2512" s="5" t="s">
        <v>6252</v>
      </c>
      <c r="J2512" s="12" t="str">
        <f>HYPERLINK("https://www.boe.es/gazeta/dias/1804/08/24/pdfs/GMD-1804-68.pdf#page=10","Abrir facsímil")</f>
        <v>Abrir facsímil</v>
      </c>
      <c r="K2512" s="15" t="s">
        <v>22</v>
      </c>
    </row>
    <row r="2513" spans="1:11" ht="42" customHeight="1">
      <c r="A2513" s="4" t="s">
        <v>6253</v>
      </c>
      <c r="B2513" s="5" t="s">
        <v>6253</v>
      </c>
      <c r="C2513" s="5" t="s">
        <v>57</v>
      </c>
      <c r="D2513" s="5" t="s">
        <v>58</v>
      </c>
      <c r="E2513" s="5" t="s">
        <v>547</v>
      </c>
      <c r="F2513" s="9">
        <v>68</v>
      </c>
      <c r="G2513" s="9">
        <v>758</v>
      </c>
      <c r="H2513" s="5" t="s">
        <v>20</v>
      </c>
      <c r="I2513" s="5" t="s">
        <v>6254</v>
      </c>
      <c r="J2513" s="12" t="str">
        <f>HYPERLINK("https://www.boe.es/gazeta/dias/1804/08/24/pdfs/GMD-1804-68.pdf#page=4","Abrir facsímil")</f>
        <v>Abrir facsímil</v>
      </c>
      <c r="K2513" s="15" t="s">
        <v>22</v>
      </c>
    </row>
    <row r="2514" spans="1:11" ht="42" customHeight="1">
      <c r="A2514" s="4" t="s">
        <v>6255</v>
      </c>
      <c r="B2514" s="5" t="s">
        <v>6256</v>
      </c>
      <c r="C2514" s="5" t="s">
        <v>27</v>
      </c>
      <c r="D2514" s="5" t="s">
        <v>28</v>
      </c>
      <c r="E2514" s="5" t="s">
        <v>19</v>
      </c>
      <c r="F2514" s="9">
        <v>60</v>
      </c>
      <c r="G2514" s="9">
        <v>665</v>
      </c>
      <c r="H2514" s="5" t="s">
        <v>20</v>
      </c>
      <c r="I2514" s="5" t="s">
        <v>6257</v>
      </c>
      <c r="J2514" s="12" t="str">
        <f>HYPERLINK("https://www.boe.es/gazeta/dias/1804/07/27/pdfs/GMD-1804-60.pdf#page=7","Abrir facsímil")</f>
        <v>Abrir facsímil</v>
      </c>
      <c r="K2514" s="15" t="s">
        <v>22</v>
      </c>
    </row>
    <row r="2515" spans="1:11" ht="42" customHeight="1">
      <c r="A2515" s="4" t="s">
        <v>6258</v>
      </c>
      <c r="B2515" s="5" t="s">
        <v>6259</v>
      </c>
      <c r="C2515" s="5" t="s">
        <v>85</v>
      </c>
      <c r="D2515" s="5" t="s">
        <v>86</v>
      </c>
      <c r="E2515" s="5" t="s">
        <v>264</v>
      </c>
      <c r="F2515" s="9">
        <v>49</v>
      </c>
      <c r="G2515" s="9" t="s">
        <v>2381</v>
      </c>
      <c r="H2515" s="5" t="s">
        <v>20</v>
      </c>
      <c r="I2515" s="5" t="s">
        <v>6260</v>
      </c>
      <c r="J2515" s="12" t="str">
        <f>HYPERLINK("https://www.boe.es/gazeta/dias/1804/06/19/pdfs/GMD-C-1804-49.pdf#page=5","Abrir facsímil")</f>
        <v>Abrir facsímil</v>
      </c>
      <c r="K2515" s="15" t="s">
        <v>22</v>
      </c>
    </row>
    <row r="2516" spans="1:11" ht="42" customHeight="1">
      <c r="A2516" s="4" t="s">
        <v>6261</v>
      </c>
      <c r="B2516" s="5" t="s">
        <v>6262</v>
      </c>
      <c r="C2516" s="5" t="s">
        <v>198</v>
      </c>
      <c r="D2516" s="5" t="s">
        <v>66</v>
      </c>
      <c r="E2516" s="5" t="s">
        <v>19</v>
      </c>
      <c r="F2516" s="9">
        <v>60</v>
      </c>
      <c r="G2516" s="9">
        <v>665</v>
      </c>
      <c r="H2516" s="5" t="s">
        <v>20</v>
      </c>
      <c r="I2516" s="5" t="s">
        <v>6263</v>
      </c>
      <c r="J2516" s="12" t="str">
        <f>HYPERLINK("https://www.boe.es/gazeta/dias/1804/07/27/pdfs/GMD-1804-60.pdf#page=7","Abrir facsímil")</f>
        <v>Abrir facsímil</v>
      </c>
      <c r="K2516" s="15" t="s">
        <v>22</v>
      </c>
    </row>
    <row r="2517" spans="1:11" ht="42" customHeight="1">
      <c r="A2517" s="4" t="s">
        <v>6264</v>
      </c>
      <c r="B2517" s="5" t="s">
        <v>6265</v>
      </c>
      <c r="C2517" s="5" t="s">
        <v>85</v>
      </c>
      <c r="D2517" s="5" t="s">
        <v>86</v>
      </c>
      <c r="E2517" s="5" t="s">
        <v>360</v>
      </c>
      <c r="F2517" s="9">
        <v>81</v>
      </c>
      <c r="G2517" s="9">
        <v>897</v>
      </c>
      <c r="H2517" s="5" t="s">
        <v>20</v>
      </c>
      <c r="I2517" s="5" t="s">
        <v>6266</v>
      </c>
      <c r="J2517" s="12" t="str">
        <f>HYPERLINK("https://www.boe.es/gazeta/dias/1804/10/09/pdfs/GMD-1804-81.pdf#page=7","Abrir facsímil")</f>
        <v>Abrir facsímil</v>
      </c>
      <c r="K2517" s="15" t="s">
        <v>22</v>
      </c>
    </row>
    <row r="2518" spans="1:11" ht="42" customHeight="1">
      <c r="A2518" s="4" t="s">
        <v>6267</v>
      </c>
      <c r="B2518" s="5" t="s">
        <v>6267</v>
      </c>
      <c r="C2518" s="5" t="s">
        <v>120</v>
      </c>
      <c r="D2518" s="5" t="s">
        <v>121</v>
      </c>
      <c r="E2518" s="5" t="s">
        <v>33</v>
      </c>
      <c r="F2518" s="9">
        <v>48</v>
      </c>
      <c r="G2518" s="9" t="s">
        <v>122</v>
      </c>
      <c r="H2518" s="5" t="s">
        <v>20</v>
      </c>
      <c r="I2518" s="5" t="s">
        <v>6268</v>
      </c>
      <c r="J2518" s="12" t="str">
        <f>HYPERLINK("https://www.boe.es/gazeta/dias/1804/06/15/pdfs/GMD-C-1804-48.pdf#page=3","Abrir facsímil")</f>
        <v>Abrir facsímil</v>
      </c>
      <c r="K2518" s="15" t="s">
        <v>22</v>
      </c>
    </row>
    <row r="2519" spans="1:11" ht="42" customHeight="1">
      <c r="A2519" s="4" t="s">
        <v>6269</v>
      </c>
      <c r="B2519" s="5" t="s">
        <v>6269</v>
      </c>
      <c r="C2519" s="5" t="s">
        <v>65</v>
      </c>
      <c r="D2519" s="5" t="s">
        <v>66</v>
      </c>
      <c r="E2519" s="5" t="s">
        <v>666</v>
      </c>
      <c r="F2519" s="9">
        <v>57</v>
      </c>
      <c r="G2519" s="9">
        <v>632</v>
      </c>
      <c r="H2519" s="5" t="s">
        <v>20</v>
      </c>
      <c r="I2519" s="5" t="s">
        <v>6270</v>
      </c>
      <c r="J2519" s="12" t="str">
        <f>HYPERLINK("https://www.boe.es/gazeta/dias/1804/07/17/pdfs/GMD-1804-57.pdf#page=10","Abrir facsímil")</f>
        <v>Abrir facsímil</v>
      </c>
      <c r="K2519" s="15" t="s">
        <v>22</v>
      </c>
    </row>
    <row r="2520" spans="1:11" ht="42" customHeight="1">
      <c r="A2520" s="4" t="s">
        <v>6271</v>
      </c>
      <c r="B2520" s="5" t="s">
        <v>6271</v>
      </c>
      <c r="C2520" s="5" t="s">
        <v>27</v>
      </c>
      <c r="D2520" s="5" t="s">
        <v>28</v>
      </c>
      <c r="E2520" s="5" t="s">
        <v>182</v>
      </c>
      <c r="F2520" s="9">
        <v>21</v>
      </c>
      <c r="G2520" s="9">
        <v>234</v>
      </c>
      <c r="H2520" s="5" t="s">
        <v>20</v>
      </c>
      <c r="I2520" s="5" t="s">
        <v>6272</v>
      </c>
      <c r="J2520" s="12" t="str">
        <f>HYPERLINK("https://www.boe.es/gazeta/dias/1804/03/13/pdfs/GMD-1804-21.pdf#page=10","Abrir facsímil")</f>
        <v>Abrir facsímil</v>
      </c>
      <c r="K2520" s="15" t="s">
        <v>22</v>
      </c>
    </row>
    <row r="2521" spans="1:11" ht="42" customHeight="1">
      <c r="A2521" s="4" t="s">
        <v>6273</v>
      </c>
      <c r="B2521" s="5" t="s">
        <v>6273</v>
      </c>
      <c r="C2521" s="5" t="s">
        <v>198</v>
      </c>
      <c r="D2521" s="5" t="s">
        <v>66</v>
      </c>
      <c r="E2521" s="5" t="s">
        <v>23</v>
      </c>
      <c r="F2521" s="9">
        <v>91</v>
      </c>
      <c r="G2521" s="9">
        <v>1009</v>
      </c>
      <c r="H2521" s="5" t="s">
        <v>20</v>
      </c>
      <c r="I2521" s="5" t="s">
        <v>6274</v>
      </c>
      <c r="J2521" s="12" t="str">
        <f>HYPERLINK("https://www.boe.es/gazeta/dias/1804/11/13/pdfs/GMD-1804-91.pdf#page=9","Abrir facsímil")</f>
        <v>Abrir facsímil</v>
      </c>
      <c r="K2521" s="15" t="s">
        <v>22</v>
      </c>
    </row>
    <row r="2522" spans="1:11" ht="42" customHeight="1">
      <c r="A2522" s="4" t="s">
        <v>6275</v>
      </c>
      <c r="B2522" s="5" t="s">
        <v>6275</v>
      </c>
      <c r="C2522" s="5" t="s">
        <v>57</v>
      </c>
      <c r="D2522" s="5" t="s">
        <v>58</v>
      </c>
      <c r="E2522" s="5" t="s">
        <v>484</v>
      </c>
      <c r="F2522" s="9">
        <v>53</v>
      </c>
      <c r="G2522" s="9">
        <v>585</v>
      </c>
      <c r="H2522" s="5" t="s">
        <v>20</v>
      </c>
      <c r="I2522" s="5" t="s">
        <v>6276</v>
      </c>
      <c r="J2522" s="12" t="str">
        <f>HYPERLINK("https://www.boe.es/gazeta/dias/1804/07/03/pdfs/GMD-1804-53.pdf#page=3","Abrir facsímil")</f>
        <v>Abrir facsímil</v>
      </c>
      <c r="K2522" s="15" t="s">
        <v>22</v>
      </c>
    </row>
    <row r="2523" spans="1:11" ht="42" customHeight="1">
      <c r="A2523" s="4" t="s">
        <v>6277</v>
      </c>
      <c r="B2523" s="5" t="s">
        <v>6277</v>
      </c>
      <c r="C2523" s="5" t="s">
        <v>17</v>
      </c>
      <c r="D2523" s="5" t="s">
        <v>18</v>
      </c>
      <c r="E2523" s="5" t="s">
        <v>466</v>
      </c>
      <c r="F2523" s="9">
        <v>76</v>
      </c>
      <c r="G2523" s="9">
        <v>850</v>
      </c>
      <c r="H2523" s="5" t="s">
        <v>20</v>
      </c>
      <c r="I2523" s="5" t="s">
        <v>6278</v>
      </c>
      <c r="J2523" s="12" t="str">
        <f>HYPERLINK("https://www.boe.es/gazeta/dias/1804/09/21/pdfs/GMD-1804-76.pdf#page=8","Abrir facsímil")</f>
        <v>Abrir facsímil</v>
      </c>
      <c r="K2523" s="15" t="s">
        <v>22</v>
      </c>
    </row>
    <row r="2524" spans="1:11" ht="42" customHeight="1">
      <c r="A2524" s="4" t="s">
        <v>6279</v>
      </c>
      <c r="B2524" s="5" t="s">
        <v>6279</v>
      </c>
      <c r="C2524" s="5" t="s">
        <v>85</v>
      </c>
      <c r="D2524" s="5" t="s">
        <v>86</v>
      </c>
      <c r="E2524" s="5" t="s">
        <v>19</v>
      </c>
      <c r="F2524" s="9">
        <v>60</v>
      </c>
      <c r="G2524" s="9">
        <v>670</v>
      </c>
      <c r="H2524" s="5" t="s">
        <v>20</v>
      </c>
      <c r="I2524" s="5" t="s">
        <v>6280</v>
      </c>
      <c r="J2524" s="12" t="str">
        <f>HYPERLINK("https://www.boe.es/gazeta/dias/1804/07/27/pdfs/GMD-1804-60.pdf#page=12","Abrir facsímil")</f>
        <v>Abrir facsímil</v>
      </c>
      <c r="K2524" s="15" t="s">
        <v>22</v>
      </c>
    </row>
    <row r="2525" spans="1:11" ht="42" customHeight="1">
      <c r="A2525" s="4" t="s">
        <v>6281</v>
      </c>
      <c r="B2525" s="5" t="s">
        <v>6282</v>
      </c>
      <c r="C2525" s="5" t="s">
        <v>57</v>
      </c>
      <c r="D2525" s="5" t="s">
        <v>58</v>
      </c>
      <c r="E2525" s="5" t="s">
        <v>350</v>
      </c>
      <c r="F2525" s="9">
        <v>19</v>
      </c>
      <c r="G2525" s="9">
        <v>205</v>
      </c>
      <c r="H2525" s="5" t="s">
        <v>20</v>
      </c>
      <c r="I2525" s="5" t="s">
        <v>6283</v>
      </c>
      <c r="J2525" s="12" t="str">
        <f>HYPERLINK("https://www.boe.es/gazeta/dias/1804/03/06/pdfs/GMD-1804-19.pdf#page=5","Abrir facsímil")</f>
        <v>Abrir facsímil</v>
      </c>
      <c r="K2525" s="15" t="s">
        <v>22</v>
      </c>
    </row>
    <row r="2526" spans="1:11" ht="42" customHeight="1">
      <c r="A2526" s="4" t="s">
        <v>6281</v>
      </c>
      <c r="B2526" s="5" t="s">
        <v>6282</v>
      </c>
      <c r="C2526" s="5" t="s">
        <v>57</v>
      </c>
      <c r="D2526" s="5" t="s">
        <v>58</v>
      </c>
      <c r="E2526" s="5" t="s">
        <v>538</v>
      </c>
      <c r="F2526" s="9">
        <v>27</v>
      </c>
      <c r="G2526" s="9">
        <v>297</v>
      </c>
      <c r="H2526" s="5" t="s">
        <v>20</v>
      </c>
      <c r="I2526" s="5" t="s">
        <v>6284</v>
      </c>
      <c r="J2526" s="12" t="str">
        <f>HYPERLINK("https://www.boe.es/gazeta/dias/1804/04/03/pdfs/GMD-1804-27.pdf#page=3","Abrir facsímil")</f>
        <v>Abrir facsímil</v>
      </c>
      <c r="K2526" s="15" t="s">
        <v>22</v>
      </c>
    </row>
    <row r="2527" spans="1:11" ht="42" customHeight="1">
      <c r="A2527" s="4" t="s">
        <v>6285</v>
      </c>
      <c r="B2527" s="5" t="s">
        <v>6285</v>
      </c>
      <c r="C2527" s="5" t="s">
        <v>57</v>
      </c>
      <c r="D2527" s="5" t="s">
        <v>58</v>
      </c>
      <c r="E2527" s="5" t="s">
        <v>1449</v>
      </c>
      <c r="F2527" s="9">
        <v>8</v>
      </c>
      <c r="G2527" s="9">
        <v>80</v>
      </c>
      <c r="H2527" s="5" t="s">
        <v>20</v>
      </c>
      <c r="I2527" s="5" t="s">
        <v>6286</v>
      </c>
      <c r="J2527" s="12" t="str">
        <f>HYPERLINK("https://www.boe.es/gazeta/dias/1804/01/27/pdfs/GMD-1804-8.pdf#page=4","Abrir facsímil")</f>
        <v>Abrir facsímil</v>
      </c>
      <c r="K2527" s="15" t="s">
        <v>22</v>
      </c>
    </row>
    <row r="2528" spans="1:11" ht="42" customHeight="1">
      <c r="A2528" s="4" t="s">
        <v>6287</v>
      </c>
      <c r="B2528" s="5" t="s">
        <v>6288</v>
      </c>
      <c r="C2528" s="5" t="s">
        <v>57</v>
      </c>
      <c r="D2528" s="5" t="s">
        <v>58</v>
      </c>
      <c r="E2528" s="5" t="s">
        <v>155</v>
      </c>
      <c r="F2528" s="9">
        <v>92</v>
      </c>
      <c r="G2528" s="9">
        <v>1016</v>
      </c>
      <c r="H2528" s="5" t="s">
        <v>20</v>
      </c>
      <c r="I2528" s="5" t="s">
        <v>6289</v>
      </c>
      <c r="J2528" s="12" t="str">
        <f>HYPERLINK("https://www.boe.es/gazeta/dias/1804/11/16/pdfs/GMD-1804-92.pdf#page=4","Abrir facsímil")</f>
        <v>Abrir facsímil</v>
      </c>
      <c r="K2528" s="15" t="s">
        <v>22</v>
      </c>
    </row>
    <row r="2529" spans="1:11" ht="42" customHeight="1">
      <c r="A2529" s="4" t="s">
        <v>6290</v>
      </c>
      <c r="B2529" s="5" t="s">
        <v>6291</v>
      </c>
      <c r="C2529" s="5" t="s">
        <v>27</v>
      </c>
      <c r="D2529" s="5" t="s">
        <v>28</v>
      </c>
      <c r="E2529" s="5" t="s">
        <v>147</v>
      </c>
      <c r="F2529" s="9">
        <v>77</v>
      </c>
      <c r="G2529" s="9">
        <v>857</v>
      </c>
      <c r="H2529" s="5" t="s">
        <v>20</v>
      </c>
      <c r="I2529" s="5" t="s">
        <v>6292</v>
      </c>
      <c r="J2529" s="12" t="str">
        <f>HYPERLINK("https://www.boe.es/gazeta/dias/1804/09/25/pdfs/GMD-1804-77.pdf#page=7","Abrir facsímil")</f>
        <v>Abrir facsímil</v>
      </c>
      <c r="K2529" s="15" t="s">
        <v>22</v>
      </c>
    </row>
    <row r="2530" spans="1:11" ht="42" customHeight="1">
      <c r="A2530" s="4" t="s">
        <v>6293</v>
      </c>
      <c r="B2530" s="5" t="s">
        <v>6293</v>
      </c>
      <c r="C2530" s="5" t="s">
        <v>57</v>
      </c>
      <c r="D2530" s="5" t="s">
        <v>58</v>
      </c>
      <c r="E2530" s="5" t="s">
        <v>23</v>
      </c>
      <c r="F2530" s="9">
        <v>91</v>
      </c>
      <c r="G2530" s="9">
        <v>1003</v>
      </c>
      <c r="H2530" s="5" t="s">
        <v>20</v>
      </c>
      <c r="I2530" s="5" t="s">
        <v>6294</v>
      </c>
      <c r="J2530" s="12" t="str">
        <f>HYPERLINK("https://www.boe.es/gazeta/dias/1804/11/13/pdfs/GMD-1804-91.pdf#page=3","Abrir facsímil")</f>
        <v>Abrir facsímil</v>
      </c>
      <c r="K2530" s="15" t="s">
        <v>22</v>
      </c>
    </row>
    <row r="2531" spans="1:11" ht="42" customHeight="1">
      <c r="A2531" s="4" t="s">
        <v>6295</v>
      </c>
      <c r="B2531" s="5" t="s">
        <v>6295</v>
      </c>
      <c r="C2531" s="5" t="s">
        <v>57</v>
      </c>
      <c r="D2531" s="5" t="s">
        <v>58</v>
      </c>
      <c r="E2531" s="5" t="s">
        <v>23</v>
      </c>
      <c r="F2531" s="9">
        <v>91</v>
      </c>
      <c r="G2531" s="9">
        <v>1004</v>
      </c>
      <c r="H2531" s="5" t="s">
        <v>20</v>
      </c>
      <c r="I2531" s="5" t="s">
        <v>6296</v>
      </c>
      <c r="J2531" s="12" t="str">
        <f>HYPERLINK("https://www.boe.es/gazeta/dias/1804/11/13/pdfs/GMD-1804-91.pdf#page=4","Abrir facsímil")</f>
        <v>Abrir facsímil</v>
      </c>
      <c r="K2531" s="15" t="s">
        <v>22</v>
      </c>
    </row>
    <row r="2532" spans="1:11" ht="42" customHeight="1">
      <c r="A2532" s="4" t="s">
        <v>6297</v>
      </c>
      <c r="B2532" s="5" t="s">
        <v>6298</v>
      </c>
      <c r="C2532" s="5" t="s">
        <v>27</v>
      </c>
      <c r="D2532" s="5" t="s">
        <v>28</v>
      </c>
      <c r="E2532" s="5" t="s">
        <v>427</v>
      </c>
      <c r="F2532" s="9">
        <v>80</v>
      </c>
      <c r="G2532" s="9">
        <v>887</v>
      </c>
      <c r="H2532" s="5" t="s">
        <v>20</v>
      </c>
      <c r="I2532" s="5" t="s">
        <v>6299</v>
      </c>
      <c r="J2532" s="12" t="str">
        <f>HYPERLINK("https://www.boe.es/gazeta/dias/1804/10/05/pdfs/GMD-1804-80.pdf#page=5","Abrir facsímil")</f>
        <v>Abrir facsímil</v>
      </c>
      <c r="K2532" s="15" t="s">
        <v>22</v>
      </c>
    </row>
    <row r="2533" spans="1:11" ht="42" customHeight="1">
      <c r="A2533" s="4" t="s">
        <v>6300</v>
      </c>
      <c r="B2533" s="5" t="s">
        <v>6300</v>
      </c>
      <c r="C2533" s="5" t="s">
        <v>65</v>
      </c>
      <c r="D2533" s="5" t="s">
        <v>66</v>
      </c>
      <c r="E2533" s="5" t="s">
        <v>81</v>
      </c>
      <c r="F2533" s="9">
        <v>98</v>
      </c>
      <c r="G2533" s="9">
        <v>1090</v>
      </c>
      <c r="H2533" s="5" t="s">
        <v>20</v>
      </c>
      <c r="I2533" s="5" t="s">
        <v>6301</v>
      </c>
      <c r="J2533" s="12" t="str">
        <f>HYPERLINK("https://www.boe.es/gazeta/dias/1804/12/07/pdfs/GMD-1804-98.pdf#page=6","Abrir facsímil")</f>
        <v>Abrir facsímil</v>
      </c>
      <c r="K2533" s="15" t="s">
        <v>22</v>
      </c>
    </row>
    <row r="2534" spans="1:11" ht="42" customHeight="1">
      <c r="A2534" s="4" t="s">
        <v>6302</v>
      </c>
      <c r="B2534" s="5" t="s">
        <v>6302</v>
      </c>
      <c r="C2534" s="5" t="s">
        <v>27</v>
      </c>
      <c r="D2534" s="5" t="s">
        <v>28</v>
      </c>
      <c r="E2534" s="5" t="s">
        <v>155</v>
      </c>
      <c r="F2534" s="9">
        <v>92</v>
      </c>
      <c r="G2534" s="9">
        <v>1020</v>
      </c>
      <c r="H2534" s="5" t="s">
        <v>20</v>
      </c>
      <c r="I2534" s="5" t="s">
        <v>6303</v>
      </c>
      <c r="J2534" s="12" t="str">
        <f>HYPERLINK("https://www.boe.es/gazeta/dias/1804/11/16/pdfs/GMD-1804-92.pdf#page=8","Abrir facsímil")</f>
        <v>Abrir facsímil</v>
      </c>
      <c r="K2534" s="15" t="s">
        <v>22</v>
      </c>
    </row>
    <row r="2535" spans="1:11" ht="42" customHeight="1">
      <c r="A2535" s="4" t="s">
        <v>6304</v>
      </c>
      <c r="B2535" s="5" t="s">
        <v>6305</v>
      </c>
      <c r="C2535" s="5" t="s">
        <v>27</v>
      </c>
      <c r="D2535" s="5" t="s">
        <v>28</v>
      </c>
      <c r="E2535" s="5" t="s">
        <v>54</v>
      </c>
      <c r="F2535" s="9">
        <v>63</v>
      </c>
      <c r="G2535" s="9">
        <v>701</v>
      </c>
      <c r="H2535" s="5" t="s">
        <v>20</v>
      </c>
      <c r="I2535" s="5" t="s">
        <v>6306</v>
      </c>
      <c r="J2535" s="12" t="str">
        <f>HYPERLINK("https://www.boe.es/gazeta/dias/1804/08/07/pdfs/GMD-1804-63.pdf#page=11","Abrir facsímil")</f>
        <v>Abrir facsímil</v>
      </c>
      <c r="K2535" s="15" t="s">
        <v>22</v>
      </c>
    </row>
    <row r="2536" spans="1:11" ht="42" customHeight="1">
      <c r="A2536" s="4" t="s">
        <v>6307</v>
      </c>
      <c r="B2536" s="5" t="s">
        <v>6308</v>
      </c>
      <c r="C2536" s="5" t="s">
        <v>27</v>
      </c>
      <c r="D2536" s="5" t="s">
        <v>28</v>
      </c>
      <c r="E2536" s="5" t="s">
        <v>33</v>
      </c>
      <c r="F2536" s="9">
        <v>48</v>
      </c>
      <c r="G2536" s="9">
        <v>536</v>
      </c>
      <c r="H2536" s="5" t="s">
        <v>20</v>
      </c>
      <c r="I2536" s="5" t="s">
        <v>6309</v>
      </c>
      <c r="J2536" s="12" t="str">
        <f>HYPERLINK("https://www.boe.es/gazeta/dias/1804/06/15/pdfs/GMD-1804-48.pdf#page=6","Abrir facsímil")</f>
        <v>Abrir facsímil</v>
      </c>
      <c r="K2536" s="15" t="s">
        <v>22</v>
      </c>
    </row>
    <row r="2537" spans="1:11" ht="42" customHeight="1">
      <c r="A2537" s="4" t="s">
        <v>6310</v>
      </c>
      <c r="B2537" s="5" t="s">
        <v>6310</v>
      </c>
      <c r="C2537" s="5" t="s">
        <v>17</v>
      </c>
      <c r="D2537" s="5" t="s">
        <v>18</v>
      </c>
      <c r="E2537" s="5" t="s">
        <v>71</v>
      </c>
      <c r="F2537" s="9">
        <v>99</v>
      </c>
      <c r="G2537" s="9">
        <v>1102</v>
      </c>
      <c r="H2537" s="5" t="s">
        <v>20</v>
      </c>
      <c r="I2537" s="5" t="s">
        <v>6311</v>
      </c>
      <c r="J2537" s="12" t="str">
        <f>HYPERLINK("https://www.boe.es/gazeta/dias/1804/12/11/pdfs/GMD-1804-99.pdf#page=2","Abrir facsímil")</f>
        <v>Abrir facsímil</v>
      </c>
      <c r="K2537" s="15" t="s">
        <v>22</v>
      </c>
    </row>
    <row r="2538" spans="1:11" ht="42" customHeight="1">
      <c r="A2538" s="4" t="s">
        <v>6312</v>
      </c>
      <c r="B2538" s="5" t="s">
        <v>6312</v>
      </c>
      <c r="C2538" s="5" t="s">
        <v>57</v>
      </c>
      <c r="D2538" s="5" t="s">
        <v>58</v>
      </c>
      <c r="E2538" s="5" t="s">
        <v>398</v>
      </c>
      <c r="F2538" s="9">
        <v>22</v>
      </c>
      <c r="G2538" s="9">
        <v>237</v>
      </c>
      <c r="H2538" s="5" t="s">
        <v>20</v>
      </c>
      <c r="I2538" s="5" t="s">
        <v>6313</v>
      </c>
      <c r="J2538" s="12" t="str">
        <f>HYPERLINK("https://www.boe.es/gazeta/dias/1804/03/16/pdfs/GMD-1804-22.pdf#page=1","Abrir facsímil")</f>
        <v>Abrir facsímil</v>
      </c>
      <c r="K2538" s="15" t="s">
        <v>22</v>
      </c>
    </row>
    <row r="2539" spans="1:11" ht="42" customHeight="1">
      <c r="A2539" s="4" t="s">
        <v>6314</v>
      </c>
      <c r="B2539" s="5" t="s">
        <v>6314</v>
      </c>
      <c r="C2539" s="5" t="s">
        <v>57</v>
      </c>
      <c r="D2539" s="5" t="s">
        <v>58</v>
      </c>
      <c r="E2539" s="5" t="s">
        <v>251</v>
      </c>
      <c r="F2539" s="9">
        <v>79</v>
      </c>
      <c r="G2539" s="9">
        <v>876</v>
      </c>
      <c r="H2539" s="5" t="s">
        <v>20</v>
      </c>
      <c r="I2539" s="5" t="s">
        <v>6315</v>
      </c>
      <c r="J2539" s="12" t="str">
        <f>HYPERLINK("https://www.boe.es/gazeta/dias/1804/10/02/pdfs/GMD-1804-79.pdf#page=6","Abrir facsímil")</f>
        <v>Abrir facsímil</v>
      </c>
      <c r="K2539" s="15" t="s">
        <v>22</v>
      </c>
    </row>
    <row r="2540" spans="1:11" ht="42" customHeight="1">
      <c r="A2540" s="4" t="s">
        <v>6316</v>
      </c>
      <c r="B2540" s="5" t="s">
        <v>6317</v>
      </c>
      <c r="C2540" s="5" t="s">
        <v>27</v>
      </c>
      <c r="D2540" s="5" t="s">
        <v>28</v>
      </c>
      <c r="E2540" s="5" t="s">
        <v>91</v>
      </c>
      <c r="F2540" s="9">
        <v>72</v>
      </c>
      <c r="G2540" s="9">
        <v>806</v>
      </c>
      <c r="H2540" s="5" t="s">
        <v>20</v>
      </c>
      <c r="I2540" s="5" t="s">
        <v>6318</v>
      </c>
      <c r="J2540" s="12" t="str">
        <f>HYPERLINK("https://www.boe.es/gazeta/dias/1804/09/07/pdfs/GMD-1804-72.pdf#page=8","Abrir facsímil")</f>
        <v>Abrir facsímil</v>
      </c>
      <c r="K2540" s="15" t="s">
        <v>22</v>
      </c>
    </row>
    <row r="2541" spans="1:11" ht="42" customHeight="1">
      <c r="A2541" s="4" t="s">
        <v>6319</v>
      </c>
      <c r="B2541" s="5" t="s">
        <v>6320</v>
      </c>
      <c r="C2541" s="5" t="s">
        <v>27</v>
      </c>
      <c r="D2541" s="5" t="s">
        <v>28</v>
      </c>
      <c r="E2541" s="5" t="s">
        <v>1179</v>
      </c>
      <c r="F2541" s="9">
        <v>43</v>
      </c>
      <c r="G2541" s="9">
        <v>479</v>
      </c>
      <c r="H2541" s="5" t="s">
        <v>20</v>
      </c>
      <c r="I2541" s="5" t="s">
        <v>6321</v>
      </c>
      <c r="J2541" s="12" t="str">
        <f>HYPERLINK("https://www.boe.es/gazeta/dias/1804/05/29/pdfs/GMD-1804-43.pdf#page=5","Abrir facsímil")</f>
        <v>Abrir facsímil</v>
      </c>
      <c r="K2541" s="15" t="s">
        <v>22</v>
      </c>
    </row>
    <row r="2542" spans="1:11" ht="42" customHeight="1">
      <c r="A2542" s="4" t="s">
        <v>6322</v>
      </c>
      <c r="B2542" s="5" t="s">
        <v>6323</v>
      </c>
      <c r="C2542" s="5" t="s">
        <v>27</v>
      </c>
      <c r="D2542" s="5" t="s">
        <v>28</v>
      </c>
      <c r="E2542" s="5" t="s">
        <v>800</v>
      </c>
      <c r="F2542" s="9">
        <v>45</v>
      </c>
      <c r="G2542" s="9">
        <v>495</v>
      </c>
      <c r="H2542" s="5" t="s">
        <v>20</v>
      </c>
      <c r="I2542" s="5" t="s">
        <v>6324</v>
      </c>
      <c r="J2542" s="12" t="str">
        <f>HYPERLINK("https://www.boe.es/gazeta/dias/1804/06/05/pdfs/GMD-1804-45.pdf#page=5","Abrir facsímil")</f>
        <v>Abrir facsímil</v>
      </c>
      <c r="K2542" s="15" t="s">
        <v>22</v>
      </c>
    </row>
    <row r="2543" spans="1:11" ht="42" customHeight="1">
      <c r="A2543" s="4" t="s">
        <v>6325</v>
      </c>
      <c r="B2543" s="5" t="s">
        <v>6326</v>
      </c>
      <c r="C2543" s="5" t="s">
        <v>65</v>
      </c>
      <c r="D2543" s="5" t="s">
        <v>66</v>
      </c>
      <c r="E2543" s="5" t="s">
        <v>245</v>
      </c>
      <c r="F2543" s="9">
        <v>6</v>
      </c>
      <c r="G2543" s="9">
        <v>59</v>
      </c>
      <c r="H2543" s="5" t="s">
        <v>20</v>
      </c>
      <c r="I2543" s="5" t="s">
        <v>6327</v>
      </c>
      <c r="J2543" s="12" t="str">
        <f>HYPERLINK("https://www.boe.es/gazeta/dias/1804/01/20/pdfs/GMD-1804-6.pdf#page=11","Abrir facsímil")</f>
        <v>Abrir facsímil</v>
      </c>
      <c r="K2543" s="15" t="s">
        <v>22</v>
      </c>
    </row>
    <row r="2544" spans="1:11" ht="42" customHeight="1">
      <c r="A2544" s="4" t="s">
        <v>6328</v>
      </c>
      <c r="B2544" s="5" t="s">
        <v>6329</v>
      </c>
      <c r="C2544" s="5" t="s">
        <v>262</v>
      </c>
      <c r="D2544" s="5" t="s">
        <v>263</v>
      </c>
      <c r="E2544" s="5" t="s">
        <v>398</v>
      </c>
      <c r="F2544" s="9">
        <v>22</v>
      </c>
      <c r="G2544" s="9">
        <v>250</v>
      </c>
      <c r="H2544" s="5" t="s">
        <v>20</v>
      </c>
      <c r="I2544" s="5" t="s">
        <v>6330</v>
      </c>
      <c r="J2544" s="12" t="str">
        <f>HYPERLINK("https://www.boe.es/gazeta/dias/1804/03/16/pdfs/GMD-C-1804-22.pdf#page=2","Abrir facsímil")</f>
        <v>Abrir facsímil</v>
      </c>
      <c r="K2544" s="15" t="s">
        <v>22</v>
      </c>
    </row>
    <row r="2545" spans="1:11" ht="42" customHeight="1">
      <c r="A2545" s="4" t="s">
        <v>6328</v>
      </c>
      <c r="B2545" s="5" t="s">
        <v>6329</v>
      </c>
      <c r="C2545" s="5" t="s">
        <v>198</v>
      </c>
      <c r="D2545" s="5" t="s">
        <v>66</v>
      </c>
      <c r="E2545" s="5" t="s">
        <v>666</v>
      </c>
      <c r="F2545" s="9">
        <v>57</v>
      </c>
      <c r="G2545" s="9">
        <v>636</v>
      </c>
      <c r="H2545" s="5" t="s">
        <v>20</v>
      </c>
      <c r="I2545" s="5" t="s">
        <v>6331</v>
      </c>
      <c r="J2545" s="12" t="str">
        <f>HYPERLINK("https://www.boe.es/gazeta/dias/1804/07/17/pdfs/GMD-C-1804-57.pdf#page=2","Abrir facsímil")</f>
        <v>Abrir facsímil</v>
      </c>
      <c r="K2545" s="15" t="s">
        <v>22</v>
      </c>
    </row>
    <row r="2546" spans="1:11" ht="42" customHeight="1">
      <c r="A2546" s="4" t="s">
        <v>6332</v>
      </c>
      <c r="B2546" s="5" t="s">
        <v>6332</v>
      </c>
      <c r="C2546" s="5" t="s">
        <v>57</v>
      </c>
      <c r="D2546" s="5" t="s">
        <v>58</v>
      </c>
      <c r="E2546" s="5" t="s">
        <v>77</v>
      </c>
      <c r="F2546" s="9">
        <v>32</v>
      </c>
      <c r="G2546" s="9">
        <v>348</v>
      </c>
      <c r="H2546" s="5" t="s">
        <v>20</v>
      </c>
      <c r="I2546" s="5" t="s">
        <v>6333</v>
      </c>
      <c r="J2546" s="12" t="str">
        <f>HYPERLINK("https://www.boe.es/gazeta/dias/1804/04/20/pdfs/GMD-1804-32.pdf#page=2","Abrir facsímil")</f>
        <v>Abrir facsímil</v>
      </c>
      <c r="K2546" s="15" t="s">
        <v>22</v>
      </c>
    </row>
    <row r="2547" spans="1:11" ht="42" customHeight="1">
      <c r="A2547" s="4" t="s">
        <v>6334</v>
      </c>
      <c r="B2547" s="5" t="s">
        <v>6335</v>
      </c>
      <c r="C2547" s="5" t="s">
        <v>27</v>
      </c>
      <c r="D2547" s="5" t="s">
        <v>28</v>
      </c>
      <c r="E2547" s="5" t="s">
        <v>1337</v>
      </c>
      <c r="F2547" s="9">
        <v>7</v>
      </c>
      <c r="G2547" s="9">
        <v>66</v>
      </c>
      <c r="H2547" s="5" t="s">
        <v>20</v>
      </c>
      <c r="I2547" s="5" t="s">
        <v>6336</v>
      </c>
      <c r="J2547" s="12" t="str">
        <f>HYPERLINK("https://www.boe.es/gazeta/dias/1804/01/24/pdfs/GMD-1804-7.pdf#page=6","Abrir facsímil")</f>
        <v>Abrir facsímil</v>
      </c>
      <c r="K2547" s="15" t="s">
        <v>22</v>
      </c>
    </row>
    <row r="2548" spans="1:11" ht="42" customHeight="1">
      <c r="A2548" s="4" t="s">
        <v>6337</v>
      </c>
      <c r="B2548" s="5" t="s">
        <v>6337</v>
      </c>
      <c r="C2548" s="5" t="s">
        <v>65</v>
      </c>
      <c r="D2548" s="5" t="s">
        <v>66</v>
      </c>
      <c r="E2548" s="5" t="s">
        <v>175</v>
      </c>
      <c r="F2548" s="9">
        <v>58</v>
      </c>
      <c r="G2548" s="9">
        <v>637</v>
      </c>
      <c r="H2548" s="5" t="s">
        <v>20</v>
      </c>
      <c r="I2548" s="5" t="s">
        <v>6338</v>
      </c>
      <c r="J2548" s="12" t="str">
        <f>HYPERLINK("https://www.boe.es/gazeta/dias/1804/07/20/pdfs/GMD-1804-58.pdf#page=3","Abrir facsímil")</f>
        <v>Abrir facsímil</v>
      </c>
      <c r="K2548" s="15" t="s">
        <v>22</v>
      </c>
    </row>
    <row r="2549" spans="1:11" ht="42" customHeight="1">
      <c r="A2549" s="4" t="s">
        <v>6337</v>
      </c>
      <c r="B2549" s="5" t="s">
        <v>6337</v>
      </c>
      <c r="C2549" s="5" t="s">
        <v>17</v>
      </c>
      <c r="D2549" s="5" t="s">
        <v>18</v>
      </c>
      <c r="E2549" s="5" t="s">
        <v>175</v>
      </c>
      <c r="F2549" s="9">
        <v>58</v>
      </c>
      <c r="G2549" s="9">
        <v>638</v>
      </c>
      <c r="H2549" s="5" t="s">
        <v>20</v>
      </c>
      <c r="I2549" s="5" t="s">
        <v>6339</v>
      </c>
      <c r="J2549" s="12" t="str">
        <f>HYPERLINK("https://www.boe.es/gazeta/dias/1804/07/20/pdfs/GMD-1804-58.pdf#page=4","Abrir facsímil")</f>
        <v>Abrir facsímil</v>
      </c>
      <c r="K2549" s="15" t="s">
        <v>22</v>
      </c>
    </row>
    <row r="2550" spans="1:11" ht="42" customHeight="1">
      <c r="A2550" s="4" t="s">
        <v>6340</v>
      </c>
      <c r="B2550" s="5" t="s">
        <v>6341</v>
      </c>
      <c r="C2550" s="5" t="s">
        <v>17</v>
      </c>
      <c r="D2550" s="5" t="s">
        <v>18</v>
      </c>
      <c r="E2550" s="5" t="s">
        <v>29</v>
      </c>
      <c r="F2550" s="9">
        <v>88</v>
      </c>
      <c r="G2550" s="9">
        <v>969</v>
      </c>
      <c r="H2550" s="5" t="s">
        <v>20</v>
      </c>
      <c r="I2550" s="5" t="s">
        <v>6342</v>
      </c>
      <c r="J2550" s="12" t="str">
        <f>HYPERLINK("https://www.boe.es/gazeta/dias/1804/11/02/pdfs/GMD-1804-88.pdf#page=1","Abrir facsímil")</f>
        <v>Abrir facsímil</v>
      </c>
      <c r="K2550" s="15" t="s">
        <v>22</v>
      </c>
    </row>
    <row r="2551" spans="1:11" ht="42" customHeight="1">
      <c r="A2551" s="4" t="s">
        <v>6343</v>
      </c>
      <c r="B2551" s="5" t="s">
        <v>6344</v>
      </c>
      <c r="C2551" s="5" t="s">
        <v>17</v>
      </c>
      <c r="D2551" s="5" t="s">
        <v>18</v>
      </c>
      <c r="E2551" s="5" t="s">
        <v>103</v>
      </c>
      <c r="F2551" s="9">
        <v>11</v>
      </c>
      <c r="G2551" s="9">
        <v>123</v>
      </c>
      <c r="H2551" s="5" t="s">
        <v>20</v>
      </c>
      <c r="I2551" s="5" t="s">
        <v>6345</v>
      </c>
      <c r="J2551" s="12" t="str">
        <f>HYPERLINK("https://www.boe.es/gazeta/dias/1804/02/07/pdfs/GMD-1804-11.pdf#page=11","Abrir facsímil")</f>
        <v>Abrir facsímil</v>
      </c>
      <c r="K2551" s="15" t="s">
        <v>22</v>
      </c>
    </row>
    <row r="2552" spans="1:11" ht="42" customHeight="1">
      <c r="A2552" s="4" t="s">
        <v>6346</v>
      </c>
      <c r="B2552" s="5" t="s">
        <v>6347</v>
      </c>
      <c r="C2552" s="5" t="s">
        <v>27</v>
      </c>
      <c r="D2552" s="5" t="s">
        <v>28</v>
      </c>
      <c r="E2552" s="5" t="s">
        <v>147</v>
      </c>
      <c r="F2552" s="9">
        <v>77</v>
      </c>
      <c r="G2552" s="9">
        <v>859</v>
      </c>
      <c r="H2552" s="5" t="s">
        <v>20</v>
      </c>
      <c r="I2552" s="5" t="s">
        <v>6348</v>
      </c>
      <c r="J2552" s="12" t="str">
        <f>HYPERLINK("https://www.boe.es/gazeta/dias/1804/09/25/pdfs/GMD-1804-77.pdf#page=9","Abrir facsímil")</f>
        <v>Abrir facsímil</v>
      </c>
      <c r="K2552" s="15" t="s">
        <v>22</v>
      </c>
    </row>
    <row r="2553" spans="1:11" ht="42" customHeight="1">
      <c r="A2553" s="4" t="s">
        <v>6349</v>
      </c>
      <c r="B2553" s="5" t="s">
        <v>6350</v>
      </c>
      <c r="C2553" s="5" t="s">
        <v>120</v>
      </c>
      <c r="D2553" s="5" t="s">
        <v>121</v>
      </c>
      <c r="E2553" s="5" t="s">
        <v>33</v>
      </c>
      <c r="F2553" s="9">
        <v>48</v>
      </c>
      <c r="G2553" s="9" t="s">
        <v>285</v>
      </c>
      <c r="H2553" s="5" t="s">
        <v>20</v>
      </c>
      <c r="I2553" s="5" t="s">
        <v>6351</v>
      </c>
      <c r="J2553" s="12" t="str">
        <f>HYPERLINK("https://www.boe.es/gazeta/dias/1804/06/15/pdfs/GMD-C-1804-48.pdf#page=2","Abrir facsímil")</f>
        <v>Abrir facsímil</v>
      </c>
      <c r="K2553" s="15" t="s">
        <v>22</v>
      </c>
    </row>
    <row r="2554" spans="1:11" ht="42" customHeight="1">
      <c r="A2554" s="4" t="s">
        <v>6352</v>
      </c>
      <c r="B2554" s="5" t="s">
        <v>6353</v>
      </c>
      <c r="C2554" s="5" t="s">
        <v>57</v>
      </c>
      <c r="D2554" s="5" t="s">
        <v>58</v>
      </c>
      <c r="E2554" s="5" t="s">
        <v>1449</v>
      </c>
      <c r="F2554" s="9">
        <v>8</v>
      </c>
      <c r="G2554" s="9">
        <v>81</v>
      </c>
      <c r="H2554" s="5" t="s">
        <v>20</v>
      </c>
      <c r="I2554" s="5" t="s">
        <v>6354</v>
      </c>
      <c r="J2554" s="12" t="str">
        <f>HYPERLINK("https://www.boe.es/gazeta/dias/1804/01/27/pdfs/GMD-1804-8.pdf#page=5","Abrir facsímil")</f>
        <v>Abrir facsímil</v>
      </c>
      <c r="K2554" s="15" t="s">
        <v>22</v>
      </c>
    </row>
    <row r="2555" spans="1:11" ht="42" customHeight="1">
      <c r="A2555" s="4" t="s">
        <v>6352</v>
      </c>
      <c r="B2555" s="5" t="s">
        <v>6353</v>
      </c>
      <c r="C2555" s="5" t="s">
        <v>57</v>
      </c>
      <c r="D2555" s="5" t="s">
        <v>58</v>
      </c>
      <c r="E2555" s="5" t="s">
        <v>1449</v>
      </c>
      <c r="F2555" s="9">
        <v>8</v>
      </c>
      <c r="G2555" s="9">
        <v>82</v>
      </c>
      <c r="H2555" s="5" t="s">
        <v>20</v>
      </c>
      <c r="I2555" s="5" t="s">
        <v>6355</v>
      </c>
      <c r="J2555" s="12" t="str">
        <f>HYPERLINK("https://www.boe.es/gazeta/dias/1804/01/27/pdfs/GMD-1804-8.pdf#page=6","Abrir facsímil")</f>
        <v>Abrir facsímil</v>
      </c>
      <c r="K2555" s="15" t="s">
        <v>22</v>
      </c>
    </row>
    <row r="2556" spans="1:11" ht="42" customHeight="1">
      <c r="A2556" s="4" t="s">
        <v>6356</v>
      </c>
      <c r="B2556" s="5" t="s">
        <v>6356</v>
      </c>
      <c r="C2556" s="5" t="s">
        <v>85</v>
      </c>
      <c r="D2556" s="5" t="s">
        <v>86</v>
      </c>
      <c r="E2556" s="5" t="s">
        <v>191</v>
      </c>
      <c r="F2556" s="9">
        <v>101</v>
      </c>
      <c r="G2556" s="9">
        <v>1131</v>
      </c>
      <c r="H2556" s="5" t="s">
        <v>20</v>
      </c>
      <c r="I2556" s="5" t="s">
        <v>6357</v>
      </c>
      <c r="J2556" s="12" t="str">
        <f>HYPERLINK("https://www.boe.es/gazeta/dias/1804/12/18/pdfs/GMD-1804-101.pdf#page=11","Abrir facsímil")</f>
        <v>Abrir facsímil</v>
      </c>
      <c r="K2556" s="15" t="s">
        <v>22</v>
      </c>
    </row>
    <row r="2557" spans="1:11" ht="42" customHeight="1">
      <c r="A2557" s="4" t="s">
        <v>6358</v>
      </c>
      <c r="B2557" s="5" t="s">
        <v>6358</v>
      </c>
      <c r="C2557" s="5" t="s">
        <v>27</v>
      </c>
      <c r="D2557" s="5" t="s">
        <v>28</v>
      </c>
      <c r="E2557" s="5" t="s">
        <v>136</v>
      </c>
      <c r="F2557" s="9">
        <v>23</v>
      </c>
      <c r="G2557" s="9">
        <v>261</v>
      </c>
      <c r="H2557" s="5" t="s">
        <v>20</v>
      </c>
      <c r="I2557" s="5" t="s">
        <v>6359</v>
      </c>
      <c r="J2557" s="12" t="str">
        <f>HYPERLINK("https://www.boe.es/gazeta/dias/1804/03/20/pdfs/GMD-1804-23.pdf#page=7","Abrir facsímil")</f>
        <v>Abrir facsímil</v>
      </c>
      <c r="K2557" s="15" t="s">
        <v>22</v>
      </c>
    </row>
    <row r="2558" spans="1:11" ht="42" customHeight="1">
      <c r="A2558" s="4" t="s">
        <v>6360</v>
      </c>
      <c r="B2558" s="5" t="s">
        <v>6361</v>
      </c>
      <c r="C2558" s="5" t="s">
        <v>17</v>
      </c>
      <c r="D2558" s="5" t="s">
        <v>18</v>
      </c>
      <c r="E2558" s="5" t="s">
        <v>71</v>
      </c>
      <c r="F2558" s="9">
        <v>99</v>
      </c>
      <c r="G2558" s="9">
        <v>1106</v>
      </c>
      <c r="H2558" s="5" t="s">
        <v>20</v>
      </c>
      <c r="I2558" s="5" t="s">
        <v>6362</v>
      </c>
      <c r="J2558" s="12" t="str">
        <f>HYPERLINK("https://www.boe.es/gazeta/dias/1804/12/11/pdfs/GMD-1804-99.pdf#page=6","Abrir facsímil")</f>
        <v>Abrir facsímil</v>
      </c>
      <c r="K2558" s="15" t="s">
        <v>22</v>
      </c>
    </row>
    <row r="2559" spans="1:11" ht="42" customHeight="1">
      <c r="A2559" s="4" t="s">
        <v>6363</v>
      </c>
      <c r="B2559" s="5" t="s">
        <v>6364</v>
      </c>
      <c r="C2559" s="5" t="s">
        <v>17</v>
      </c>
      <c r="D2559" s="5" t="s">
        <v>18</v>
      </c>
      <c r="E2559" s="5" t="s">
        <v>159</v>
      </c>
      <c r="F2559" s="9">
        <v>15</v>
      </c>
      <c r="G2559" s="9">
        <v>163</v>
      </c>
      <c r="H2559" s="5" t="s">
        <v>20</v>
      </c>
      <c r="I2559" s="5" t="s">
        <v>6365</v>
      </c>
      <c r="J2559" s="12" t="str">
        <f>HYPERLINK("https://www.boe.es/gazeta/dias/1804/02/21/pdfs/GMD-1804-15.pdf#page=7","Abrir facsímil")</f>
        <v>Abrir facsímil</v>
      </c>
      <c r="K2559" s="15" t="s">
        <v>22</v>
      </c>
    </row>
    <row r="2560" spans="1:11" ht="42" customHeight="1">
      <c r="A2560" s="4" t="s">
        <v>6366</v>
      </c>
      <c r="B2560" s="5" t="s">
        <v>6367</v>
      </c>
      <c r="C2560" s="5" t="s">
        <v>27</v>
      </c>
      <c r="D2560" s="5" t="s">
        <v>28</v>
      </c>
      <c r="E2560" s="5" t="s">
        <v>272</v>
      </c>
      <c r="F2560" s="9">
        <v>30</v>
      </c>
      <c r="G2560" s="9">
        <v>330</v>
      </c>
      <c r="H2560" s="5" t="s">
        <v>20</v>
      </c>
      <c r="I2560" s="5" t="s">
        <v>6368</v>
      </c>
      <c r="J2560" s="12" t="str">
        <f>HYPERLINK("https://www.boe.es/gazeta/dias/1804/04/13/pdfs/GMD-1804-30.pdf#page=8","Abrir facsímil")</f>
        <v>Abrir facsímil</v>
      </c>
      <c r="K2560" s="15" t="s">
        <v>22</v>
      </c>
    </row>
    <row r="2561" spans="1:11" ht="42" customHeight="1">
      <c r="A2561" s="4" t="s">
        <v>6366</v>
      </c>
      <c r="B2561" s="5" t="s">
        <v>6367</v>
      </c>
      <c r="C2561" s="5" t="s">
        <v>198</v>
      </c>
      <c r="D2561" s="5" t="s">
        <v>66</v>
      </c>
      <c r="E2561" s="5" t="s">
        <v>378</v>
      </c>
      <c r="F2561" s="9">
        <v>65</v>
      </c>
      <c r="G2561" s="9">
        <v>733</v>
      </c>
      <c r="H2561" s="5" t="s">
        <v>20</v>
      </c>
      <c r="I2561" s="5" t="s">
        <v>6369</v>
      </c>
      <c r="J2561" s="12" t="str">
        <f>HYPERLINK("https://www.boe.es/gazeta/dias/1804/08/14/pdfs/GMD-1804-65.pdf#page=11","Abrir facsímil")</f>
        <v>Abrir facsímil</v>
      </c>
      <c r="K2561" s="15" t="s">
        <v>22</v>
      </c>
    </row>
    <row r="2562" spans="1:11" ht="42" customHeight="1">
      <c r="A2562" s="4" t="s">
        <v>6370</v>
      </c>
      <c r="B2562" s="5" t="s">
        <v>6371</v>
      </c>
      <c r="C2562" s="5" t="s">
        <v>17</v>
      </c>
      <c r="D2562" s="5" t="s">
        <v>18</v>
      </c>
      <c r="E2562" s="5" t="s">
        <v>71</v>
      </c>
      <c r="F2562" s="9">
        <v>99</v>
      </c>
      <c r="G2562" s="9">
        <v>1107</v>
      </c>
      <c r="H2562" s="5" t="s">
        <v>20</v>
      </c>
      <c r="I2562" s="5" t="s">
        <v>6372</v>
      </c>
      <c r="J2562" s="12" t="str">
        <f>HYPERLINK("https://www.boe.es/gazeta/dias/1804/12/11/pdfs/GMD-1804-99.pdf#page=7","Abrir facsímil")</f>
        <v>Abrir facsímil</v>
      </c>
      <c r="K2562" s="15" t="s">
        <v>22</v>
      </c>
    </row>
    <row r="2563" spans="1:11" ht="42" customHeight="1">
      <c r="A2563" s="4" t="s">
        <v>6373</v>
      </c>
      <c r="B2563" s="5" t="s">
        <v>6374</v>
      </c>
      <c r="C2563" s="5" t="s">
        <v>27</v>
      </c>
      <c r="D2563" s="5" t="s">
        <v>28</v>
      </c>
      <c r="E2563" s="5" t="s">
        <v>1020</v>
      </c>
      <c r="F2563" s="9">
        <v>103</v>
      </c>
      <c r="G2563" s="9">
        <v>1147</v>
      </c>
      <c r="H2563" s="5" t="s">
        <v>20</v>
      </c>
      <c r="I2563" s="5" t="s">
        <v>6375</v>
      </c>
      <c r="J2563" s="12" t="str">
        <f>HYPERLINK("https://www.boe.es/gazeta/dias/1804/12/25/pdfs/GMD-1804-103.pdf#page=7","Abrir facsímil")</f>
        <v>Abrir facsímil</v>
      </c>
      <c r="K2563" s="15" t="s">
        <v>22</v>
      </c>
    </row>
    <row r="2564" spans="1:11" ht="42" customHeight="1">
      <c r="A2564" s="4" t="s">
        <v>6376</v>
      </c>
      <c r="B2564" s="5" t="s">
        <v>6377</v>
      </c>
      <c r="C2564" s="5" t="s">
        <v>27</v>
      </c>
      <c r="D2564" s="5" t="s">
        <v>28</v>
      </c>
      <c r="E2564" s="5" t="s">
        <v>317</v>
      </c>
      <c r="F2564" s="9">
        <v>56</v>
      </c>
      <c r="G2564" s="9">
        <v>620</v>
      </c>
      <c r="H2564" s="5" t="s">
        <v>20</v>
      </c>
      <c r="I2564" s="5" t="s">
        <v>6378</v>
      </c>
      <c r="J2564" s="12" t="str">
        <f>HYPERLINK("https://www.boe.es/gazeta/dias/1804/07/13/pdfs/GMD-1804-56.pdf#page=6","Abrir facsímil")</f>
        <v>Abrir facsímil</v>
      </c>
      <c r="K2564" s="15" t="s">
        <v>22</v>
      </c>
    </row>
    <row r="2565" spans="1:11" ht="42" customHeight="1">
      <c r="A2565" s="4" t="s">
        <v>6379</v>
      </c>
      <c r="B2565" s="5" t="s">
        <v>6379</v>
      </c>
      <c r="C2565" s="5" t="s">
        <v>57</v>
      </c>
      <c r="D2565" s="5" t="s">
        <v>58</v>
      </c>
      <c r="E2565" s="5" t="s">
        <v>623</v>
      </c>
      <c r="F2565" s="9">
        <v>51</v>
      </c>
      <c r="G2565" s="9">
        <v>557</v>
      </c>
      <c r="H2565" s="5" t="s">
        <v>20</v>
      </c>
      <c r="I2565" s="5" t="s">
        <v>6380</v>
      </c>
      <c r="J2565" s="12" t="str">
        <f>HYPERLINK("https://www.boe.es/gazeta/dias/1804/06/26/pdfs/GMD-1804-51.pdf#page=3","Abrir facsímil")</f>
        <v>Abrir facsímil</v>
      </c>
      <c r="K2565" s="15" t="s">
        <v>22</v>
      </c>
    </row>
    <row r="2566" spans="1:11" ht="42" customHeight="1">
      <c r="A2566" s="4" t="s">
        <v>6381</v>
      </c>
      <c r="B2566" s="5" t="s">
        <v>6382</v>
      </c>
      <c r="C2566" s="5" t="s">
        <v>17</v>
      </c>
      <c r="D2566" s="5" t="s">
        <v>18</v>
      </c>
      <c r="E2566" s="5" t="s">
        <v>136</v>
      </c>
      <c r="F2566" s="9">
        <v>23</v>
      </c>
      <c r="G2566" s="9">
        <v>263</v>
      </c>
      <c r="H2566" s="5" t="s">
        <v>20</v>
      </c>
      <c r="I2566" s="5" t="s">
        <v>6383</v>
      </c>
      <c r="J2566" s="12" t="str">
        <f>HYPERLINK("https://www.boe.es/gazeta/dias/1804/03/20/pdfs/GMD-1804-23.pdf#page=9","Abrir facsímil")</f>
        <v>Abrir facsímil</v>
      </c>
      <c r="K2566" s="15" t="s">
        <v>22</v>
      </c>
    </row>
    <row r="2567" spans="1:11" ht="42" customHeight="1">
      <c r="A2567" s="4" t="s">
        <v>6384</v>
      </c>
      <c r="B2567" s="5" t="s">
        <v>6385</v>
      </c>
      <c r="C2567" s="5" t="s">
        <v>120</v>
      </c>
      <c r="D2567" s="5" t="s">
        <v>121</v>
      </c>
      <c r="E2567" s="5" t="s">
        <v>33</v>
      </c>
      <c r="F2567" s="9">
        <v>48</v>
      </c>
      <c r="G2567" s="9" t="s">
        <v>98</v>
      </c>
      <c r="H2567" s="5" t="s">
        <v>20</v>
      </c>
      <c r="I2567" s="5" t="s">
        <v>6386</v>
      </c>
      <c r="J2567" s="12" t="str">
        <f>HYPERLINK("https://www.boe.es/gazeta/dias/1804/06/15/pdfs/GMD-C-1804-48.pdf#page=1","Abrir facsímil")</f>
        <v>Abrir facsímil</v>
      </c>
      <c r="K2567" s="15" t="s">
        <v>22</v>
      </c>
    </row>
    <row r="2568" spans="1:11" ht="42" customHeight="1">
      <c r="A2568" s="4" t="s">
        <v>6387</v>
      </c>
      <c r="B2568" s="5" t="s">
        <v>6388</v>
      </c>
      <c r="C2568" s="5" t="s">
        <v>120</v>
      </c>
      <c r="D2568" s="5" t="s">
        <v>121</v>
      </c>
      <c r="E2568" s="5" t="s">
        <v>33</v>
      </c>
      <c r="F2568" s="9">
        <v>48</v>
      </c>
      <c r="G2568" s="9" t="s">
        <v>285</v>
      </c>
      <c r="H2568" s="5" t="s">
        <v>20</v>
      </c>
      <c r="I2568" s="5" t="s">
        <v>6389</v>
      </c>
      <c r="J2568" s="12" t="str">
        <f>HYPERLINK("https://www.boe.es/gazeta/dias/1804/06/15/pdfs/GMD-C-1804-48.pdf#page=2","Abrir facsímil")</f>
        <v>Abrir facsímil</v>
      </c>
      <c r="K2568" s="15" t="s">
        <v>22</v>
      </c>
    </row>
    <row r="2569" spans="1:11" ht="42" customHeight="1">
      <c r="A2569" s="4" t="s">
        <v>6390</v>
      </c>
      <c r="B2569" s="5" t="s">
        <v>6390</v>
      </c>
      <c r="C2569" s="5" t="s">
        <v>85</v>
      </c>
      <c r="D2569" s="5" t="s">
        <v>86</v>
      </c>
      <c r="E2569" s="5" t="s">
        <v>33</v>
      </c>
      <c r="F2569" s="9">
        <v>48</v>
      </c>
      <c r="G2569" s="9">
        <v>538</v>
      </c>
      <c r="H2569" s="5" t="s">
        <v>20</v>
      </c>
      <c r="I2569" s="5" t="s">
        <v>6391</v>
      </c>
      <c r="J2569" s="12" t="str">
        <f>HYPERLINK("https://www.boe.es/gazeta/dias/1804/06/15/pdfs/GMD-1804-48.pdf#page=8","Abrir facsímil")</f>
        <v>Abrir facsímil</v>
      </c>
      <c r="K2569" s="15" t="s">
        <v>22</v>
      </c>
    </row>
    <row r="2570" spans="1:11" ht="42" customHeight="1">
      <c r="A2570" s="4" t="s">
        <v>6392</v>
      </c>
      <c r="B2570" s="5" t="s">
        <v>6392</v>
      </c>
      <c r="C2570" s="5" t="s">
        <v>120</v>
      </c>
      <c r="D2570" s="5" t="s">
        <v>121</v>
      </c>
      <c r="E2570" s="5" t="s">
        <v>33</v>
      </c>
      <c r="F2570" s="9">
        <v>48</v>
      </c>
      <c r="G2570" s="9" t="s">
        <v>819</v>
      </c>
      <c r="H2570" s="5" t="s">
        <v>20</v>
      </c>
      <c r="I2570" s="5" t="s">
        <v>6393</v>
      </c>
      <c r="J2570" s="12" t="str">
        <f>HYPERLINK("https://www.boe.es/gazeta/dias/1804/06/15/pdfs/GMD-C-1804-48.pdf#page=4","Abrir facsímil")</f>
        <v>Abrir facsímil</v>
      </c>
      <c r="K2570" s="15" t="s">
        <v>22</v>
      </c>
    </row>
    <row r="2571" spans="1:11" ht="42" customHeight="1">
      <c r="A2571" s="4" t="s">
        <v>6394</v>
      </c>
      <c r="B2571" s="5" t="s">
        <v>6394</v>
      </c>
      <c r="C2571" s="5" t="s">
        <v>27</v>
      </c>
      <c r="D2571" s="5" t="s">
        <v>28</v>
      </c>
      <c r="E2571" s="5" t="s">
        <v>234</v>
      </c>
      <c r="F2571" s="9">
        <v>86</v>
      </c>
      <c r="G2571" s="9">
        <v>948</v>
      </c>
      <c r="H2571" s="5" t="s">
        <v>20</v>
      </c>
      <c r="I2571" s="5" t="s">
        <v>6395</v>
      </c>
      <c r="J2571" s="12" t="str">
        <f>HYPERLINK("https://www.boe.es/gazeta/dias/1804/10/26/pdfs/GMD-1804-86.pdf#page=6","Abrir facsímil")</f>
        <v>Abrir facsímil</v>
      </c>
      <c r="K2571" s="15" t="s">
        <v>22</v>
      </c>
    </row>
    <row r="2572" spans="1:11" ht="42" customHeight="1">
      <c r="A2572" s="4" t="s">
        <v>6396</v>
      </c>
      <c r="B2572" s="5" t="s">
        <v>6397</v>
      </c>
      <c r="C2572" s="5" t="s">
        <v>57</v>
      </c>
      <c r="D2572" s="5" t="s">
        <v>58</v>
      </c>
      <c r="E2572" s="5" t="s">
        <v>43</v>
      </c>
      <c r="F2572" s="9">
        <v>84</v>
      </c>
      <c r="G2572" s="9">
        <v>924</v>
      </c>
      <c r="H2572" s="5" t="s">
        <v>20</v>
      </c>
      <c r="I2572" s="5" t="s">
        <v>6398</v>
      </c>
      <c r="J2572" s="12" t="str">
        <f>HYPERLINK("https://www.boe.es/gazeta/dias/1804/10/19/pdfs/GMD-1804-84.pdf#page=2","Abrir facsímil")</f>
        <v>Abrir facsímil</v>
      </c>
      <c r="K2572" s="15" t="s">
        <v>22</v>
      </c>
    </row>
    <row r="2573" spans="1:11" ht="42" customHeight="1">
      <c r="A2573" s="4" t="s">
        <v>6399</v>
      </c>
      <c r="B2573" s="5" t="s">
        <v>6399</v>
      </c>
      <c r="C2573" s="5" t="s">
        <v>27</v>
      </c>
      <c r="D2573" s="5" t="s">
        <v>28</v>
      </c>
      <c r="E2573" s="5" t="s">
        <v>666</v>
      </c>
      <c r="F2573" s="9">
        <v>57</v>
      </c>
      <c r="G2573" s="9">
        <v>631</v>
      </c>
      <c r="H2573" s="5" t="s">
        <v>20</v>
      </c>
      <c r="I2573" s="5" t="s">
        <v>6400</v>
      </c>
      <c r="J2573" s="12" t="str">
        <f>HYPERLINK("https://www.boe.es/gazeta/dias/1804/07/17/pdfs/GMD-1804-57.pdf#page=9","Abrir facsímil")</f>
        <v>Abrir facsímil</v>
      </c>
      <c r="K2573" s="15" t="s">
        <v>22</v>
      </c>
    </row>
    <row r="2574" spans="1:11" ht="42" customHeight="1">
      <c r="A2574" s="4" t="s">
        <v>6401</v>
      </c>
      <c r="B2574" s="5" t="s">
        <v>6402</v>
      </c>
      <c r="C2574" s="5" t="s">
        <v>57</v>
      </c>
      <c r="D2574" s="5" t="s">
        <v>58</v>
      </c>
      <c r="E2574" s="5" t="s">
        <v>97</v>
      </c>
      <c r="F2574" s="9">
        <v>50</v>
      </c>
      <c r="G2574" s="9">
        <v>551</v>
      </c>
      <c r="H2574" s="5" t="s">
        <v>20</v>
      </c>
      <c r="I2574" s="5" t="s">
        <v>6403</v>
      </c>
      <c r="J2574" s="12" t="str">
        <f>HYPERLINK("https://www.boe.es/gazeta/dias/1804/06/22/pdfs/GMD-1804-50.pdf#page=5","Abrir facsímil")</f>
        <v>Abrir facsímil</v>
      </c>
      <c r="K2574" s="15" t="s">
        <v>22</v>
      </c>
    </row>
    <row r="2575" spans="1:11" ht="42" customHeight="1">
      <c r="A2575" s="4" t="s">
        <v>6404</v>
      </c>
      <c r="B2575" s="5" t="s">
        <v>6405</v>
      </c>
      <c r="C2575" s="5" t="s">
        <v>57</v>
      </c>
      <c r="D2575" s="5" t="s">
        <v>58</v>
      </c>
      <c r="E2575" s="5" t="s">
        <v>251</v>
      </c>
      <c r="F2575" s="9">
        <v>79</v>
      </c>
      <c r="G2575" s="9">
        <v>875</v>
      </c>
      <c r="H2575" s="5" t="s">
        <v>20</v>
      </c>
      <c r="I2575" s="5" t="s">
        <v>6406</v>
      </c>
      <c r="J2575" s="12" t="str">
        <f>HYPERLINK("https://www.boe.es/gazeta/dias/1804/10/02/pdfs/GMD-1804-79.pdf#page=5","Abrir facsímil")</f>
        <v>Abrir facsímil</v>
      </c>
      <c r="K2575" s="15" t="s">
        <v>22</v>
      </c>
    </row>
    <row r="2576" spans="1:11" ht="42" customHeight="1">
      <c r="A2576" s="4" t="s">
        <v>6407</v>
      </c>
      <c r="B2576" s="5" t="s">
        <v>6407</v>
      </c>
      <c r="C2576" s="5" t="s">
        <v>27</v>
      </c>
      <c r="D2576" s="5" t="s">
        <v>28</v>
      </c>
      <c r="E2576" s="5" t="s">
        <v>206</v>
      </c>
      <c r="F2576" s="9">
        <v>44</v>
      </c>
      <c r="G2576" s="9">
        <v>488</v>
      </c>
      <c r="H2576" s="5" t="s">
        <v>20</v>
      </c>
      <c r="I2576" s="5" t="s">
        <v>6408</v>
      </c>
      <c r="J2576" s="12" t="str">
        <f>HYPERLINK("https://www.boe.es/gazeta/dias/1804/06/01/pdfs/GMD-1804-44.pdf#page=6","Abrir facsímil")</f>
        <v>Abrir facsímil</v>
      </c>
      <c r="K2576" s="15" t="s">
        <v>22</v>
      </c>
    </row>
    <row r="2577" spans="1:11" ht="42" customHeight="1">
      <c r="A2577" s="4" t="s">
        <v>6409</v>
      </c>
      <c r="B2577" s="5" t="s">
        <v>6409</v>
      </c>
      <c r="C2577" s="5" t="s">
        <v>17</v>
      </c>
      <c r="D2577" s="5" t="s">
        <v>18</v>
      </c>
      <c r="E2577" s="5" t="s">
        <v>71</v>
      </c>
      <c r="F2577" s="9">
        <v>99</v>
      </c>
      <c r="G2577" s="9">
        <v>1106</v>
      </c>
      <c r="H2577" s="5" t="s">
        <v>20</v>
      </c>
      <c r="I2577" s="5" t="s">
        <v>6410</v>
      </c>
      <c r="J2577" s="12" t="str">
        <f>HYPERLINK("https://www.boe.es/gazeta/dias/1804/12/11/pdfs/GMD-1804-99.pdf#page=6","Abrir facsímil")</f>
        <v>Abrir facsímil</v>
      </c>
      <c r="K2577" s="15" t="s">
        <v>22</v>
      </c>
    </row>
    <row r="2578" spans="1:11" ht="42" customHeight="1">
      <c r="A2578" s="4" t="s">
        <v>6411</v>
      </c>
      <c r="B2578" s="5" t="s">
        <v>6411</v>
      </c>
      <c r="C2578" s="5" t="s">
        <v>198</v>
      </c>
      <c r="D2578" s="5" t="s">
        <v>66</v>
      </c>
      <c r="E2578" s="5" t="s">
        <v>37</v>
      </c>
      <c r="F2578" s="9">
        <v>29</v>
      </c>
      <c r="G2578" s="9">
        <v>318</v>
      </c>
      <c r="H2578" s="5" t="s">
        <v>20</v>
      </c>
      <c r="I2578" s="5" t="s">
        <v>6412</v>
      </c>
      <c r="J2578" s="12" t="str">
        <f>HYPERLINK("https://www.boe.es/gazeta/dias/1804/04/10/pdfs/GMD-1804-29.pdf#page=8","Abrir facsímil")</f>
        <v>Abrir facsímil</v>
      </c>
      <c r="K2578" s="15" t="s">
        <v>22</v>
      </c>
    </row>
    <row r="2579" spans="1:11" ht="42" customHeight="1">
      <c r="A2579" s="4" t="s">
        <v>6413</v>
      </c>
      <c r="B2579" s="5" t="s">
        <v>6414</v>
      </c>
      <c r="C2579" s="5" t="s">
        <v>17</v>
      </c>
      <c r="D2579" s="5" t="s">
        <v>18</v>
      </c>
      <c r="E2579" s="5" t="s">
        <v>71</v>
      </c>
      <c r="F2579" s="9">
        <v>99</v>
      </c>
      <c r="G2579" s="9">
        <v>1106</v>
      </c>
      <c r="H2579" s="5" t="s">
        <v>20</v>
      </c>
      <c r="I2579" s="5" t="s">
        <v>6415</v>
      </c>
      <c r="J2579" s="12" t="str">
        <f>HYPERLINK("https://www.boe.es/gazeta/dias/1804/12/11/pdfs/GMD-1804-99.pdf#page=6","Abrir facsímil")</f>
        <v>Abrir facsímil</v>
      </c>
      <c r="K2579" s="15" t="s">
        <v>22</v>
      </c>
    </row>
    <row r="2580" spans="1:11" ht="42" customHeight="1">
      <c r="A2580" s="4" t="s">
        <v>6416</v>
      </c>
      <c r="B2580" s="5" t="s">
        <v>6417</v>
      </c>
      <c r="C2580" s="5" t="s">
        <v>27</v>
      </c>
      <c r="D2580" s="5" t="s">
        <v>28</v>
      </c>
      <c r="E2580" s="5" t="s">
        <v>136</v>
      </c>
      <c r="F2580" s="9">
        <v>23</v>
      </c>
      <c r="G2580" s="9">
        <v>261</v>
      </c>
      <c r="H2580" s="5" t="s">
        <v>20</v>
      </c>
      <c r="I2580" s="5" t="s">
        <v>6418</v>
      </c>
      <c r="J2580" s="12" t="str">
        <f>HYPERLINK("https://www.boe.es/gazeta/dias/1804/03/20/pdfs/GMD-1804-23.pdf#page=7","Abrir facsímil")</f>
        <v>Abrir facsímil</v>
      </c>
      <c r="K2580" s="15" t="s">
        <v>22</v>
      </c>
    </row>
    <row r="2581" spans="1:11" ht="42" customHeight="1">
      <c r="A2581" s="4" t="s">
        <v>6419</v>
      </c>
      <c r="B2581" s="5" t="s">
        <v>6420</v>
      </c>
      <c r="C2581" s="5" t="s">
        <v>27</v>
      </c>
      <c r="D2581" s="5" t="s">
        <v>28</v>
      </c>
      <c r="E2581" s="5" t="s">
        <v>490</v>
      </c>
      <c r="F2581" s="9">
        <v>100</v>
      </c>
      <c r="G2581" s="9">
        <v>1119</v>
      </c>
      <c r="H2581" s="5" t="s">
        <v>20</v>
      </c>
      <c r="I2581" s="5" t="s">
        <v>6421</v>
      </c>
      <c r="J2581" s="12" t="str">
        <f>HYPERLINK("https://www.boe.es/gazeta/dias/1804/12/14/pdfs/GMD-1804-100.pdf#page=11","Abrir facsímil")</f>
        <v>Abrir facsímil</v>
      </c>
      <c r="K2581" s="15" t="s">
        <v>22</v>
      </c>
    </row>
    <row r="2582" spans="1:11" ht="42" customHeight="1">
      <c r="A2582" s="4" t="s">
        <v>6422</v>
      </c>
      <c r="B2582" s="5" t="s">
        <v>6423</v>
      </c>
      <c r="C2582" s="5" t="s">
        <v>57</v>
      </c>
      <c r="D2582" s="5" t="s">
        <v>58</v>
      </c>
      <c r="E2582" s="5" t="s">
        <v>251</v>
      </c>
      <c r="F2582" s="9">
        <v>79</v>
      </c>
      <c r="G2582" s="9">
        <v>873</v>
      </c>
      <c r="H2582" s="5" t="s">
        <v>20</v>
      </c>
      <c r="I2582" s="5" t="s">
        <v>6424</v>
      </c>
      <c r="J2582" s="12" t="str">
        <f>HYPERLINK("https://www.boe.es/gazeta/dias/1804/10/02/pdfs/GMD-1804-79.pdf#page=3","Abrir facsímil")</f>
        <v>Abrir facsímil</v>
      </c>
      <c r="K2582" s="15" t="s">
        <v>22</v>
      </c>
    </row>
    <row r="2583" spans="1:11" ht="42" customHeight="1">
      <c r="A2583" s="4" t="s">
        <v>6425</v>
      </c>
      <c r="B2583" s="5" t="s">
        <v>6426</v>
      </c>
      <c r="C2583" s="5" t="s">
        <v>17</v>
      </c>
      <c r="D2583" s="5" t="s">
        <v>18</v>
      </c>
      <c r="E2583" s="5" t="s">
        <v>29</v>
      </c>
      <c r="F2583" s="9">
        <v>88</v>
      </c>
      <c r="G2583" s="9">
        <v>976</v>
      </c>
      <c r="H2583" s="5" t="s">
        <v>20</v>
      </c>
      <c r="I2583" s="5" t="s">
        <v>6427</v>
      </c>
      <c r="J2583" s="12" t="str">
        <f>HYPERLINK("https://www.boe.es/gazeta/dias/1804/11/02/pdfs/GMD-1804-88.pdf#page=8","Abrir facsímil")</f>
        <v>Abrir facsímil</v>
      </c>
      <c r="K2583" s="15" t="s">
        <v>22</v>
      </c>
    </row>
    <row r="2584" spans="1:11" ht="42" customHeight="1">
      <c r="A2584" s="4" t="s">
        <v>6428</v>
      </c>
      <c r="B2584" s="5" t="s">
        <v>6429</v>
      </c>
      <c r="C2584" s="5" t="s">
        <v>198</v>
      </c>
      <c r="D2584" s="5" t="s">
        <v>66</v>
      </c>
      <c r="E2584" s="5" t="s">
        <v>136</v>
      </c>
      <c r="F2584" s="9">
        <v>23</v>
      </c>
      <c r="G2584" s="9">
        <v>264</v>
      </c>
      <c r="H2584" s="5" t="s">
        <v>20</v>
      </c>
      <c r="I2584" s="5" t="s">
        <v>6430</v>
      </c>
      <c r="J2584" s="12" t="str">
        <f>HYPERLINK("https://www.boe.es/gazeta/dias/1804/03/20/pdfs/GMD-1804-23.pdf#page=10","Abrir facsímil")</f>
        <v>Abrir facsímil</v>
      </c>
      <c r="K2584" s="15" t="s">
        <v>22</v>
      </c>
    </row>
    <row r="2585" spans="1:11" ht="42" customHeight="1">
      <c r="A2585" s="4" t="s">
        <v>6431</v>
      </c>
      <c r="B2585" s="5" t="s">
        <v>6431</v>
      </c>
      <c r="C2585" s="5" t="s">
        <v>17</v>
      </c>
      <c r="D2585" s="5" t="s">
        <v>18</v>
      </c>
      <c r="E2585" s="5" t="s">
        <v>175</v>
      </c>
      <c r="F2585" s="9">
        <v>58</v>
      </c>
      <c r="G2585" s="9">
        <v>638</v>
      </c>
      <c r="H2585" s="5" t="s">
        <v>20</v>
      </c>
      <c r="I2585" s="5" t="s">
        <v>6432</v>
      </c>
      <c r="J2585" s="12" t="str">
        <f>HYPERLINK("https://www.boe.es/gazeta/dias/1804/07/20/pdfs/GMD-1804-58.pdf#page=4","Abrir facsímil")</f>
        <v>Abrir facsímil</v>
      </c>
      <c r="K2585" s="15" t="s">
        <v>22</v>
      </c>
    </row>
    <row r="2586" spans="1:11" ht="42" customHeight="1">
      <c r="A2586" s="4" t="s">
        <v>6433</v>
      </c>
      <c r="B2586" s="5" t="s">
        <v>6433</v>
      </c>
      <c r="C2586" s="5" t="s">
        <v>85</v>
      </c>
      <c r="D2586" s="5" t="s">
        <v>86</v>
      </c>
      <c r="E2586" s="5" t="s">
        <v>576</v>
      </c>
      <c r="F2586" s="9">
        <v>85</v>
      </c>
      <c r="G2586" s="9">
        <v>942</v>
      </c>
      <c r="H2586" s="5" t="s">
        <v>20</v>
      </c>
      <c r="I2586" s="5" t="s">
        <v>6434</v>
      </c>
      <c r="J2586" s="12" t="str">
        <f>HYPERLINK("https://www.boe.es/gazeta/dias/1804/10/23/pdfs/GMD-1804-85.pdf#page=12","Abrir facsímil")</f>
        <v>Abrir facsímil</v>
      </c>
      <c r="K2586" s="15" t="s">
        <v>22</v>
      </c>
    </row>
    <row r="2587" spans="1:11" ht="42" customHeight="1">
      <c r="A2587" s="4" t="s">
        <v>6435</v>
      </c>
      <c r="B2587" s="5" t="s">
        <v>6435</v>
      </c>
      <c r="C2587" s="5" t="s">
        <v>17</v>
      </c>
      <c r="D2587" s="5" t="s">
        <v>18</v>
      </c>
      <c r="E2587" s="5" t="s">
        <v>54</v>
      </c>
      <c r="F2587" s="9">
        <v>63</v>
      </c>
      <c r="G2587" s="9">
        <v>699</v>
      </c>
      <c r="H2587" s="5" t="s">
        <v>20</v>
      </c>
      <c r="I2587" s="5" t="s">
        <v>6436</v>
      </c>
      <c r="J2587" s="12" t="str">
        <f>HYPERLINK("https://www.boe.es/gazeta/dias/1804/08/07/pdfs/GMD-1804-63.pdf#page=9","Abrir facsímil")</f>
        <v>Abrir facsímil</v>
      </c>
      <c r="K2587" s="15" t="s">
        <v>22</v>
      </c>
    </row>
    <row r="2588" spans="1:11" ht="42" customHeight="1">
      <c r="A2588" s="4" t="s">
        <v>6437</v>
      </c>
      <c r="B2588" s="5" t="s">
        <v>6437</v>
      </c>
      <c r="C2588" s="5" t="s">
        <v>17</v>
      </c>
      <c r="D2588" s="5" t="s">
        <v>18</v>
      </c>
      <c r="E2588" s="5" t="s">
        <v>41</v>
      </c>
      <c r="F2588" s="9">
        <v>24</v>
      </c>
      <c r="G2588" s="9">
        <v>277</v>
      </c>
      <c r="H2588" s="5" t="s">
        <v>20</v>
      </c>
      <c r="I2588" s="5" t="s">
        <v>6438</v>
      </c>
      <c r="J2588" s="12" t="str">
        <f>HYPERLINK("https://www.boe.es/gazeta/dias/1804/03/23/pdfs/GMD-1804-24.pdf#page=11","Abrir facsímil")</f>
        <v>Abrir facsímil</v>
      </c>
      <c r="K2588" s="15" t="s">
        <v>22</v>
      </c>
    </row>
    <row r="2589" spans="1:11" ht="42" customHeight="1">
      <c r="A2589" s="4" t="s">
        <v>6439</v>
      </c>
      <c r="B2589" s="5" t="s">
        <v>6439</v>
      </c>
      <c r="C2589" s="5" t="s">
        <v>85</v>
      </c>
      <c r="D2589" s="5" t="s">
        <v>86</v>
      </c>
      <c r="E2589" s="5" t="s">
        <v>29</v>
      </c>
      <c r="F2589" s="9">
        <v>88</v>
      </c>
      <c r="G2589" s="9">
        <v>980</v>
      </c>
      <c r="H2589" s="5" t="s">
        <v>20</v>
      </c>
      <c r="I2589" s="5" t="s">
        <v>6440</v>
      </c>
      <c r="J2589" s="12" t="str">
        <f>HYPERLINK("https://www.boe.es/gazeta/dias/1804/11/02/pdfs/GMD-1804-88.pdf#page=12","Abrir facsímil")</f>
        <v>Abrir facsímil</v>
      </c>
      <c r="K2589" s="15" t="s">
        <v>22</v>
      </c>
    </row>
    <row r="2590" spans="1:11" ht="42" customHeight="1">
      <c r="A2590" s="4" t="s">
        <v>6441</v>
      </c>
      <c r="B2590" s="5" t="s">
        <v>6441</v>
      </c>
      <c r="C2590" s="5" t="s">
        <v>17</v>
      </c>
      <c r="D2590" s="5" t="s">
        <v>18</v>
      </c>
      <c r="E2590" s="5" t="s">
        <v>37</v>
      </c>
      <c r="F2590" s="9">
        <v>29</v>
      </c>
      <c r="G2590" s="9">
        <v>319</v>
      </c>
      <c r="H2590" s="5" t="s">
        <v>20</v>
      </c>
      <c r="I2590" s="5" t="s">
        <v>6442</v>
      </c>
      <c r="J2590" s="12" t="str">
        <f>HYPERLINK("https://www.boe.es/gazeta/dias/1804/04/10/pdfs/GMD-1804-29.pdf#page=9","Abrir facsímil")</f>
        <v>Abrir facsímil</v>
      </c>
      <c r="K2590" s="15" t="s">
        <v>22</v>
      </c>
    </row>
    <row r="2591" spans="1:11" ht="42" customHeight="1">
      <c r="A2591" s="4" t="s">
        <v>6443</v>
      </c>
      <c r="B2591" s="5" t="s">
        <v>6443</v>
      </c>
      <c r="C2591" s="5" t="s">
        <v>17</v>
      </c>
      <c r="D2591" s="5" t="s">
        <v>18</v>
      </c>
      <c r="E2591" s="5" t="s">
        <v>542</v>
      </c>
      <c r="F2591" s="9">
        <v>54</v>
      </c>
      <c r="G2591" s="9">
        <v>602</v>
      </c>
      <c r="H2591" s="5" t="s">
        <v>20</v>
      </c>
      <c r="I2591" s="5" t="s">
        <v>6444</v>
      </c>
      <c r="J2591" s="12" t="str">
        <f>HYPERLINK("https://www.boe.es/gazeta/dias/1804/07/06/pdfs/GMD-1804-54.pdf#page=8","Abrir facsímil")</f>
        <v>Abrir facsímil</v>
      </c>
      <c r="K2591" s="15" t="s">
        <v>22</v>
      </c>
    </row>
    <row r="2592" spans="1:11" ht="42" customHeight="1">
      <c r="A2592" s="4" t="s">
        <v>6445</v>
      </c>
      <c r="B2592" s="5" t="s">
        <v>6446</v>
      </c>
      <c r="C2592" s="5" t="s">
        <v>27</v>
      </c>
      <c r="D2592" s="5" t="s">
        <v>28</v>
      </c>
      <c r="E2592" s="5" t="s">
        <v>81</v>
      </c>
      <c r="F2592" s="9">
        <v>98</v>
      </c>
      <c r="G2592" s="9">
        <v>1088</v>
      </c>
      <c r="H2592" s="5" t="s">
        <v>20</v>
      </c>
      <c r="I2592" s="5" t="s">
        <v>6447</v>
      </c>
      <c r="J2592" s="12" t="str">
        <f>HYPERLINK("https://www.boe.es/gazeta/dias/1804/12/07/pdfs/GMD-1804-98.pdf#page=4","Abrir facsímil")</f>
        <v>Abrir facsímil</v>
      </c>
      <c r="K2592" s="15" t="s">
        <v>22</v>
      </c>
    </row>
    <row r="2593" spans="1:11" ht="42" customHeight="1">
      <c r="A2593" s="4" t="s">
        <v>6448</v>
      </c>
      <c r="B2593" s="5" t="s">
        <v>6449</v>
      </c>
      <c r="C2593" s="5" t="s">
        <v>57</v>
      </c>
      <c r="D2593" s="5" t="s">
        <v>58</v>
      </c>
      <c r="E2593" s="5" t="s">
        <v>800</v>
      </c>
      <c r="F2593" s="9">
        <v>45</v>
      </c>
      <c r="G2593" s="9">
        <v>491</v>
      </c>
      <c r="H2593" s="5" t="s">
        <v>20</v>
      </c>
      <c r="I2593" s="5" t="s">
        <v>6450</v>
      </c>
      <c r="J2593" s="12" t="str">
        <f>HYPERLINK("https://www.boe.es/gazeta/dias/1804/06/05/pdfs/GMD-1804-45.pdf#page=1","Abrir facsímil")</f>
        <v>Abrir facsímil</v>
      </c>
      <c r="K2593" s="15" t="s">
        <v>22</v>
      </c>
    </row>
    <row r="2594" spans="1:11" ht="42" customHeight="1">
      <c r="A2594" s="4" t="s">
        <v>6448</v>
      </c>
      <c r="B2594" s="5" t="s">
        <v>6449</v>
      </c>
      <c r="C2594" s="5" t="s">
        <v>57</v>
      </c>
      <c r="D2594" s="5" t="s">
        <v>58</v>
      </c>
      <c r="E2594" s="5" t="s">
        <v>547</v>
      </c>
      <c r="F2594" s="9">
        <v>68</v>
      </c>
      <c r="G2594" s="9">
        <v>756</v>
      </c>
      <c r="H2594" s="5" t="s">
        <v>20</v>
      </c>
      <c r="I2594" s="5" t="s">
        <v>6451</v>
      </c>
      <c r="J2594" s="12" t="str">
        <f>HYPERLINK("https://www.boe.es/gazeta/dias/1804/08/24/pdfs/GMD-1804-68.pdf#page=2","Abrir facsímil")</f>
        <v>Abrir facsímil</v>
      </c>
      <c r="K2594" s="15" t="s">
        <v>22</v>
      </c>
    </row>
    <row r="2595" spans="1:11" ht="42" customHeight="1">
      <c r="A2595" s="4" t="s">
        <v>6452</v>
      </c>
      <c r="B2595" s="5" t="s">
        <v>6453</v>
      </c>
      <c r="C2595" s="5" t="s">
        <v>27</v>
      </c>
      <c r="D2595" s="5" t="s">
        <v>28</v>
      </c>
      <c r="E2595" s="5" t="s">
        <v>206</v>
      </c>
      <c r="F2595" s="9">
        <v>44</v>
      </c>
      <c r="G2595" s="9">
        <v>489</v>
      </c>
      <c r="H2595" s="5" t="s">
        <v>20</v>
      </c>
      <c r="I2595" s="5" t="s">
        <v>6454</v>
      </c>
      <c r="J2595" s="12" t="str">
        <f>HYPERLINK("https://www.boe.es/gazeta/dias/1804/06/01/pdfs/GMD-1804-44.pdf#page=7","Abrir facsímil")</f>
        <v>Abrir facsímil</v>
      </c>
      <c r="K2595" s="15" t="s">
        <v>22</v>
      </c>
    </row>
    <row r="2596" spans="1:11" ht="42" customHeight="1">
      <c r="A2596" s="4" t="s">
        <v>6455</v>
      </c>
      <c r="B2596" s="5" t="s">
        <v>6455</v>
      </c>
      <c r="C2596" s="5" t="s">
        <v>85</v>
      </c>
      <c r="D2596" s="5" t="s">
        <v>86</v>
      </c>
      <c r="E2596" s="5" t="s">
        <v>222</v>
      </c>
      <c r="F2596" s="9">
        <v>4</v>
      </c>
      <c r="G2596" s="9">
        <v>39</v>
      </c>
      <c r="H2596" s="5" t="s">
        <v>20</v>
      </c>
      <c r="I2596" s="5" t="s">
        <v>6456</v>
      </c>
      <c r="J2596" s="12" t="str">
        <f>HYPERLINK("https://www.boe.es/gazeta/dias/1804/01/13/pdfs/GMD-1804-4.pdf#page=11","Abrir facsímil")</f>
        <v>Abrir facsímil</v>
      </c>
      <c r="K2596" s="15" t="s">
        <v>22</v>
      </c>
    </row>
    <row r="2597" spans="1:11" ht="42" customHeight="1">
      <c r="A2597" s="4" t="s">
        <v>6457</v>
      </c>
      <c r="B2597" s="5" t="s">
        <v>6458</v>
      </c>
      <c r="C2597" s="5" t="s">
        <v>65</v>
      </c>
      <c r="D2597" s="5" t="s">
        <v>66</v>
      </c>
      <c r="E2597" s="5" t="s">
        <v>59</v>
      </c>
      <c r="F2597" s="9">
        <v>55</v>
      </c>
      <c r="G2597" s="9">
        <v>612</v>
      </c>
      <c r="H2597" s="5" t="s">
        <v>20</v>
      </c>
      <c r="I2597" s="5" t="s">
        <v>6459</v>
      </c>
      <c r="J2597" s="12" t="str">
        <f>HYPERLINK("https://www.boe.es/gazeta/dias/1804/07/10/pdfs/GMD-1804-55.pdf#page=10","Abrir facsímil")</f>
        <v>Abrir facsímil</v>
      </c>
      <c r="K2597" s="15" t="s">
        <v>22</v>
      </c>
    </row>
    <row r="2598" spans="1:11" ht="42" customHeight="1">
      <c r="A2598" s="4" t="s">
        <v>6460</v>
      </c>
      <c r="B2598" s="5" t="s">
        <v>6460</v>
      </c>
      <c r="C2598" s="5" t="s">
        <v>65</v>
      </c>
      <c r="D2598" s="5" t="s">
        <v>66</v>
      </c>
      <c r="E2598" s="5" t="s">
        <v>106</v>
      </c>
      <c r="F2598" s="9">
        <v>34</v>
      </c>
      <c r="G2598" s="9">
        <v>377</v>
      </c>
      <c r="H2598" s="5" t="s">
        <v>20</v>
      </c>
      <c r="I2598" s="5" t="s">
        <v>6461</v>
      </c>
      <c r="J2598" s="12" t="str">
        <f>HYPERLINK("https://www.boe.es/gazeta/dias/1804/04/27/pdfs/GMD-1804-34.pdf#page=7","Abrir facsímil")</f>
        <v>Abrir facsímil</v>
      </c>
      <c r="K2598" s="15" t="s">
        <v>22</v>
      </c>
    </row>
    <row r="2599" spans="1:11" ht="42" customHeight="1">
      <c r="A2599" s="4" t="s">
        <v>6462</v>
      </c>
      <c r="B2599" s="5" t="s">
        <v>6462</v>
      </c>
      <c r="C2599" s="5" t="s">
        <v>17</v>
      </c>
      <c r="D2599" s="5" t="s">
        <v>18</v>
      </c>
      <c r="E2599" s="5" t="s">
        <v>216</v>
      </c>
      <c r="F2599" s="9">
        <v>67</v>
      </c>
      <c r="G2599" s="9">
        <v>749</v>
      </c>
      <c r="H2599" s="5" t="s">
        <v>20</v>
      </c>
      <c r="I2599" s="5" t="s">
        <v>6463</v>
      </c>
      <c r="J2599" s="12" t="str">
        <f>HYPERLINK("https://www.boe.es/gazeta/dias/1804/08/21/pdfs/GMD-1804-67.pdf#page=7","Abrir facsímil")</f>
        <v>Abrir facsímil</v>
      </c>
      <c r="K2599" s="15" t="s">
        <v>22</v>
      </c>
    </row>
    <row r="2600" spans="1:11" ht="42" customHeight="1">
      <c r="A2600" s="4" t="s">
        <v>6464</v>
      </c>
      <c r="B2600" s="5" t="s">
        <v>6464</v>
      </c>
      <c r="C2600" s="5" t="s">
        <v>27</v>
      </c>
      <c r="D2600" s="5" t="s">
        <v>28</v>
      </c>
      <c r="E2600" s="5" t="s">
        <v>264</v>
      </c>
      <c r="F2600" s="9">
        <v>49</v>
      </c>
      <c r="G2600" s="9">
        <v>544</v>
      </c>
      <c r="H2600" s="5" t="s">
        <v>20</v>
      </c>
      <c r="I2600" s="5" t="s">
        <v>6465</v>
      </c>
      <c r="J2600" s="12" t="str">
        <f>HYPERLINK("https://www.boe.es/gazeta/dias/1804/06/19/pdfs/GMD-1804-49.pdf#page=6","Abrir facsímil")</f>
        <v>Abrir facsímil</v>
      </c>
      <c r="K2600" s="15" t="s">
        <v>22</v>
      </c>
    </row>
    <row r="2601" spans="1:11" ht="42" customHeight="1">
      <c r="A2601" s="4" t="s">
        <v>6466</v>
      </c>
      <c r="B2601" s="5" t="s">
        <v>6466</v>
      </c>
      <c r="C2601" s="5" t="s">
        <v>65</v>
      </c>
      <c r="D2601" s="5" t="s">
        <v>66</v>
      </c>
      <c r="E2601" s="5" t="s">
        <v>515</v>
      </c>
      <c r="F2601" s="9">
        <v>102</v>
      </c>
      <c r="G2601" s="9">
        <v>1139</v>
      </c>
      <c r="H2601" s="5" t="s">
        <v>20</v>
      </c>
      <c r="I2601" s="5" t="s">
        <v>6467</v>
      </c>
      <c r="J2601" s="12" t="str">
        <f>HYPERLINK("https://www.boe.es/gazeta/dias/1804/12/21/pdfs/GMD-1804-102.pdf#page=7","Abrir facsímil")</f>
        <v>Abrir facsímil</v>
      </c>
      <c r="K2601" s="15" t="s">
        <v>22</v>
      </c>
    </row>
    <row r="2602" spans="1:11" ht="42" customHeight="1">
      <c r="A2602" s="4" t="s">
        <v>6468</v>
      </c>
      <c r="B2602" s="5" t="s">
        <v>6468</v>
      </c>
      <c r="C2602" s="5" t="s">
        <v>17</v>
      </c>
      <c r="D2602" s="5" t="s">
        <v>18</v>
      </c>
      <c r="E2602" s="5" t="s">
        <v>216</v>
      </c>
      <c r="F2602" s="9">
        <v>67</v>
      </c>
      <c r="G2602" s="9">
        <v>750</v>
      </c>
      <c r="H2602" s="5" t="s">
        <v>20</v>
      </c>
      <c r="I2602" s="5" t="s">
        <v>6469</v>
      </c>
      <c r="J2602" s="12" t="str">
        <f>HYPERLINK("https://www.boe.es/gazeta/dias/1804/08/21/pdfs/GMD-1804-67.pdf#page=8","Abrir facsímil")</f>
        <v>Abrir facsímil</v>
      </c>
      <c r="K2602" s="15" t="s">
        <v>22</v>
      </c>
    </row>
    <row r="2603" spans="1:11" ht="42" customHeight="1">
      <c r="A2603" s="4" t="s">
        <v>6470</v>
      </c>
      <c r="B2603" s="5" t="s">
        <v>6470</v>
      </c>
      <c r="C2603" s="5" t="s">
        <v>27</v>
      </c>
      <c r="D2603" s="5" t="s">
        <v>28</v>
      </c>
      <c r="E2603" s="5" t="s">
        <v>67</v>
      </c>
      <c r="F2603" s="9">
        <v>59</v>
      </c>
      <c r="G2603" s="9">
        <v>653</v>
      </c>
      <c r="H2603" s="5" t="s">
        <v>20</v>
      </c>
      <c r="I2603" s="5" t="s">
        <v>6471</v>
      </c>
      <c r="J2603" s="12" t="str">
        <f>HYPERLINK("https://www.boe.es/gazeta/dias/1804/07/24/pdfs/GMD-1804-59.pdf#page=7","Abrir facsímil")</f>
        <v>Abrir facsímil</v>
      </c>
      <c r="K2603" s="15" t="s">
        <v>22</v>
      </c>
    </row>
    <row r="2604" spans="1:11" ht="42" customHeight="1">
      <c r="A2604" s="4" t="s">
        <v>6472</v>
      </c>
      <c r="B2604" s="5" t="s">
        <v>6473</v>
      </c>
      <c r="C2604" s="5" t="s">
        <v>198</v>
      </c>
      <c r="D2604" s="5" t="s">
        <v>66</v>
      </c>
      <c r="E2604" s="5" t="s">
        <v>103</v>
      </c>
      <c r="F2604" s="9">
        <v>11</v>
      </c>
      <c r="G2604" s="9">
        <v>124</v>
      </c>
      <c r="H2604" s="5" t="s">
        <v>20</v>
      </c>
      <c r="I2604" s="5" t="s">
        <v>6474</v>
      </c>
      <c r="J2604" s="12" t="str">
        <f>HYPERLINK("https://www.boe.es/gazeta/dias/1804/02/07/pdfs/GMD-1804-11.pdf#page=12","Abrir facsímil")</f>
        <v>Abrir facsímil</v>
      </c>
      <c r="K2604" s="15" t="s">
        <v>22</v>
      </c>
    </row>
    <row r="2605" spans="1:11" ht="42" customHeight="1">
      <c r="A2605" s="4" t="s">
        <v>6472</v>
      </c>
      <c r="B2605" s="5" t="s">
        <v>6473</v>
      </c>
      <c r="C2605" s="5" t="s">
        <v>198</v>
      </c>
      <c r="D2605" s="5" t="s">
        <v>66</v>
      </c>
      <c r="E2605" s="5" t="s">
        <v>453</v>
      </c>
      <c r="F2605" s="9">
        <v>33</v>
      </c>
      <c r="G2605" s="9">
        <v>368</v>
      </c>
      <c r="H2605" s="5" t="s">
        <v>20</v>
      </c>
      <c r="I2605" s="5" t="s">
        <v>6475</v>
      </c>
      <c r="J2605" s="12" t="str">
        <f>HYPERLINK("https://www.boe.es/gazeta/dias/1804/04/24/pdfs/GMD-1804-33.pdf#page=10","Abrir facsímil")</f>
        <v>Abrir facsímil</v>
      </c>
      <c r="K2605" s="15" t="s">
        <v>22</v>
      </c>
    </row>
    <row r="2606" spans="1:11" ht="42" customHeight="1">
      <c r="A2606" s="4" t="s">
        <v>6472</v>
      </c>
      <c r="B2606" s="5" t="s">
        <v>6473</v>
      </c>
      <c r="C2606" s="5" t="s">
        <v>65</v>
      </c>
      <c r="D2606" s="5" t="s">
        <v>66</v>
      </c>
      <c r="E2606" s="5" t="s">
        <v>206</v>
      </c>
      <c r="F2606" s="9">
        <v>44</v>
      </c>
      <c r="G2606" s="9">
        <v>489</v>
      </c>
      <c r="H2606" s="5" t="s">
        <v>20</v>
      </c>
      <c r="I2606" s="5" t="s">
        <v>6476</v>
      </c>
      <c r="J2606" s="12" t="str">
        <f>HYPERLINK("https://www.boe.es/gazeta/dias/1804/06/01/pdfs/GMD-1804-44.pdf#page=7","Abrir facsímil")</f>
        <v>Abrir facsímil</v>
      </c>
      <c r="K2606" s="15" t="s">
        <v>22</v>
      </c>
    </row>
    <row r="2607" spans="1:11" ht="42" customHeight="1">
      <c r="A2607" s="4" t="s">
        <v>6477</v>
      </c>
      <c r="B2607" s="5" t="s">
        <v>6477</v>
      </c>
      <c r="C2607" s="5" t="s">
        <v>27</v>
      </c>
      <c r="D2607" s="5" t="s">
        <v>28</v>
      </c>
      <c r="E2607" s="5" t="s">
        <v>264</v>
      </c>
      <c r="F2607" s="9">
        <v>49</v>
      </c>
      <c r="G2607" s="9">
        <v>544</v>
      </c>
      <c r="H2607" s="5" t="s">
        <v>20</v>
      </c>
      <c r="I2607" s="5" t="s">
        <v>6478</v>
      </c>
      <c r="J2607" s="12" t="str">
        <f>HYPERLINK("https://www.boe.es/gazeta/dias/1804/06/19/pdfs/GMD-1804-49.pdf#page=6","Abrir facsímil")</f>
        <v>Abrir facsímil</v>
      </c>
      <c r="K2607" s="15" t="s">
        <v>22</v>
      </c>
    </row>
    <row r="2608" spans="1:11" ht="42" customHeight="1">
      <c r="A2608" s="4" t="s">
        <v>6479</v>
      </c>
      <c r="B2608" s="5" t="s">
        <v>6479</v>
      </c>
      <c r="C2608" s="5" t="s">
        <v>17</v>
      </c>
      <c r="D2608" s="5" t="s">
        <v>18</v>
      </c>
      <c r="E2608" s="5" t="s">
        <v>47</v>
      </c>
      <c r="F2608" s="9">
        <v>78</v>
      </c>
      <c r="G2608" s="9">
        <v>869</v>
      </c>
      <c r="H2608" s="5" t="s">
        <v>20</v>
      </c>
      <c r="I2608" s="5" t="s">
        <v>6480</v>
      </c>
      <c r="J2608" s="12" t="str">
        <f>HYPERLINK("https://www.boe.es/gazeta/dias/1804/09/28/pdfs/GMD-1804-78.pdf#page=7","Abrir facsímil")</f>
        <v>Abrir facsímil</v>
      </c>
      <c r="K2608" s="15" t="s">
        <v>22</v>
      </c>
    </row>
    <row r="2609" spans="1:11" ht="42" customHeight="1">
      <c r="A2609" s="4" t="s">
        <v>6481</v>
      </c>
      <c r="B2609" s="5" t="s">
        <v>6481</v>
      </c>
      <c r="C2609" s="5" t="s">
        <v>85</v>
      </c>
      <c r="D2609" s="5" t="s">
        <v>86</v>
      </c>
      <c r="E2609" s="5" t="s">
        <v>1179</v>
      </c>
      <c r="F2609" s="9">
        <v>43</v>
      </c>
      <c r="G2609" s="9">
        <v>482</v>
      </c>
      <c r="H2609" s="5" t="s">
        <v>20</v>
      </c>
      <c r="I2609" s="5" t="s">
        <v>6482</v>
      </c>
      <c r="J2609" s="12" t="str">
        <f>HYPERLINK("https://www.boe.es/gazeta/dias/1804/05/29/pdfs/GMD-1804-43.pdf#page=8","Abrir facsímil")</f>
        <v>Abrir facsímil</v>
      </c>
      <c r="K2609" s="15" t="s">
        <v>22</v>
      </c>
    </row>
    <row r="2610" spans="1:11" ht="42" customHeight="1">
      <c r="A2610" s="4" t="s">
        <v>6483</v>
      </c>
      <c r="B2610" s="5" t="s">
        <v>6484</v>
      </c>
      <c r="C2610" s="5" t="s">
        <v>65</v>
      </c>
      <c r="D2610" s="5" t="s">
        <v>66</v>
      </c>
      <c r="E2610" s="5" t="s">
        <v>484</v>
      </c>
      <c r="F2610" s="9">
        <v>53</v>
      </c>
      <c r="G2610" s="9">
        <v>590</v>
      </c>
      <c r="H2610" s="5" t="s">
        <v>20</v>
      </c>
      <c r="I2610" s="5" t="s">
        <v>6485</v>
      </c>
      <c r="J2610" s="12" t="str">
        <f>HYPERLINK("https://www.boe.es/gazeta/dias/1804/07/03/pdfs/GMD-1804-53.pdf#page=8","Abrir facsímil")</f>
        <v>Abrir facsímil</v>
      </c>
      <c r="K2610" s="15" t="s">
        <v>22</v>
      </c>
    </row>
    <row r="2611" spans="1:11" ht="42" customHeight="1">
      <c r="A2611" s="4" t="s">
        <v>6486</v>
      </c>
      <c r="B2611" s="5" t="s">
        <v>6487</v>
      </c>
      <c r="C2611" s="5" t="s">
        <v>57</v>
      </c>
      <c r="D2611" s="5" t="s">
        <v>58</v>
      </c>
      <c r="E2611" s="5" t="s">
        <v>542</v>
      </c>
      <c r="F2611" s="9">
        <v>54</v>
      </c>
      <c r="G2611" s="9">
        <v>597</v>
      </c>
      <c r="H2611" s="5" t="s">
        <v>20</v>
      </c>
      <c r="I2611" s="5" t="s">
        <v>6488</v>
      </c>
      <c r="J2611" s="12" t="str">
        <f>HYPERLINK("https://www.boe.es/gazeta/dias/1804/07/06/pdfs/GMD-1804-54.pdf#page=3","Abrir facsímil")</f>
        <v>Abrir facsímil</v>
      </c>
      <c r="K2611" s="15" t="s">
        <v>22</v>
      </c>
    </row>
    <row r="2612" spans="1:11" ht="42" customHeight="1">
      <c r="A2612" s="4" t="s">
        <v>6489</v>
      </c>
      <c r="B2612" s="5" t="s">
        <v>6490</v>
      </c>
      <c r="C2612" s="5" t="s">
        <v>198</v>
      </c>
      <c r="D2612" s="5" t="s">
        <v>66</v>
      </c>
      <c r="E2612" s="5" t="s">
        <v>587</v>
      </c>
      <c r="F2612" s="9">
        <v>62</v>
      </c>
      <c r="G2612" s="9">
        <v>689</v>
      </c>
      <c r="H2612" s="5" t="s">
        <v>20</v>
      </c>
      <c r="I2612" s="5" t="s">
        <v>6491</v>
      </c>
      <c r="J2612" s="12" t="str">
        <f>HYPERLINK("https://www.boe.es/gazeta/dias/1804/08/03/pdfs/GMD-1804-62.pdf#page=11","Abrir facsímil")</f>
        <v>Abrir facsímil</v>
      </c>
      <c r="K2612" s="15" t="s">
        <v>6492</v>
      </c>
    </row>
    <row r="2613" spans="1:11" ht="42" customHeight="1">
      <c r="A2613" s="4" t="s">
        <v>6493</v>
      </c>
      <c r="B2613" s="5" t="s">
        <v>6494</v>
      </c>
      <c r="C2613" s="5" t="s">
        <v>17</v>
      </c>
      <c r="D2613" s="5" t="s">
        <v>18</v>
      </c>
      <c r="E2613" s="5" t="s">
        <v>182</v>
      </c>
      <c r="F2613" s="9">
        <v>21</v>
      </c>
      <c r="G2613" s="9">
        <v>232</v>
      </c>
      <c r="H2613" s="5" t="s">
        <v>20</v>
      </c>
      <c r="I2613" s="5" t="s">
        <v>6495</v>
      </c>
      <c r="J2613" s="12" t="str">
        <f>HYPERLINK("https://www.boe.es/gazeta/dias/1804/03/13/pdfs/GMD-1804-21.pdf#page=8","Abrir facsímil")</f>
        <v>Abrir facsímil</v>
      </c>
      <c r="K2613" s="15" t="s">
        <v>22</v>
      </c>
    </row>
    <row r="2614" spans="1:11" ht="42" customHeight="1">
      <c r="A2614" s="4" t="s">
        <v>6496</v>
      </c>
      <c r="B2614" s="5" t="s">
        <v>6497</v>
      </c>
      <c r="C2614" s="5" t="s">
        <v>65</v>
      </c>
      <c r="D2614" s="5" t="s">
        <v>66</v>
      </c>
      <c r="E2614" s="5" t="s">
        <v>29</v>
      </c>
      <c r="F2614" s="9">
        <v>88</v>
      </c>
      <c r="G2614" s="9">
        <v>976</v>
      </c>
      <c r="H2614" s="5" t="s">
        <v>20</v>
      </c>
      <c r="I2614" s="5" t="s">
        <v>6498</v>
      </c>
      <c r="J2614" s="12" t="str">
        <f>HYPERLINK("https://www.boe.es/gazeta/dias/1804/11/02/pdfs/GMD-1804-88.pdf#page=8","Abrir facsímil")</f>
        <v>Abrir facsímil</v>
      </c>
      <c r="K2614" s="15" t="s">
        <v>22</v>
      </c>
    </row>
    <row r="2615" spans="1:11" ht="42" customHeight="1">
      <c r="A2615" s="4" t="s">
        <v>6499</v>
      </c>
      <c r="B2615" s="5" t="s">
        <v>6499</v>
      </c>
      <c r="C2615" s="5" t="s">
        <v>198</v>
      </c>
      <c r="D2615" s="5" t="s">
        <v>66</v>
      </c>
      <c r="E2615" s="5" t="s">
        <v>143</v>
      </c>
      <c r="F2615" s="9">
        <v>87</v>
      </c>
      <c r="G2615" s="9">
        <v>967</v>
      </c>
      <c r="H2615" s="5" t="s">
        <v>20</v>
      </c>
      <c r="I2615" s="5" t="s">
        <v>6500</v>
      </c>
      <c r="J2615" s="12" t="str">
        <f>HYPERLINK("https://www.boe.es/gazeta/dias/1804/10/30/pdfs/GMD-1804-87.pdf#page=11","Abrir facsímil")</f>
        <v>Abrir facsímil</v>
      </c>
      <c r="K2615" s="15" t="s">
        <v>22</v>
      </c>
    </row>
    <row r="2616" spans="1:11" ht="42" customHeight="1">
      <c r="A2616" s="4" t="s">
        <v>6501</v>
      </c>
      <c r="B2616" s="5" t="s">
        <v>6502</v>
      </c>
      <c r="C2616" s="5" t="s">
        <v>65</v>
      </c>
      <c r="D2616" s="5" t="s">
        <v>66</v>
      </c>
      <c r="E2616" s="5" t="s">
        <v>576</v>
      </c>
      <c r="F2616" s="9">
        <v>85</v>
      </c>
      <c r="G2616" s="9">
        <v>939</v>
      </c>
      <c r="H2616" s="5" t="s">
        <v>20</v>
      </c>
      <c r="I2616" s="5" t="s">
        <v>6503</v>
      </c>
      <c r="J2616" s="12" t="str">
        <f>HYPERLINK("https://www.boe.es/gazeta/dias/1804/10/23/pdfs/GMD-1804-85.pdf#page=9","Abrir facsímil")</f>
        <v>Abrir facsímil</v>
      </c>
      <c r="K2616" s="15" t="s">
        <v>22</v>
      </c>
    </row>
    <row r="2617" spans="1:11" ht="42" customHeight="1">
      <c r="A2617" s="4" t="s">
        <v>6504</v>
      </c>
      <c r="B2617" s="5" t="s">
        <v>6504</v>
      </c>
      <c r="C2617" s="5" t="s">
        <v>27</v>
      </c>
      <c r="D2617" s="5" t="s">
        <v>28</v>
      </c>
      <c r="E2617" s="5" t="s">
        <v>19</v>
      </c>
      <c r="F2617" s="9">
        <v>60</v>
      </c>
      <c r="G2617" s="9">
        <v>665</v>
      </c>
      <c r="H2617" s="5" t="s">
        <v>20</v>
      </c>
      <c r="I2617" s="5" t="s">
        <v>6505</v>
      </c>
      <c r="J2617" s="12" t="str">
        <f>HYPERLINK("https://www.boe.es/gazeta/dias/1804/07/27/pdfs/GMD-1804-60.pdf#page=7","Abrir facsímil")</f>
        <v>Abrir facsímil</v>
      </c>
      <c r="K2617" s="15" t="s">
        <v>22</v>
      </c>
    </row>
    <row r="2618" spans="1:11" ht="42" customHeight="1">
      <c r="A2618" s="4" t="s">
        <v>6506</v>
      </c>
      <c r="B2618" s="5" t="s">
        <v>6506</v>
      </c>
      <c r="C2618" s="5" t="s">
        <v>27</v>
      </c>
      <c r="D2618" s="5" t="s">
        <v>28</v>
      </c>
      <c r="E2618" s="5" t="s">
        <v>678</v>
      </c>
      <c r="F2618" s="9">
        <v>104</v>
      </c>
      <c r="G2618" s="9">
        <v>1162</v>
      </c>
      <c r="H2618" s="5" t="s">
        <v>20</v>
      </c>
      <c r="I2618" s="5" t="s">
        <v>6507</v>
      </c>
      <c r="J2618" s="12" t="str">
        <f>HYPERLINK("https://www.boe.es/gazeta/dias/1804/12/28/pdfs/GMD-1804-104.pdf#page=10","Abrir facsímil")</f>
        <v>Abrir facsímil</v>
      </c>
      <c r="K2618" s="15" t="s">
        <v>22</v>
      </c>
    </row>
    <row r="2619" spans="1:11" ht="42" customHeight="1">
      <c r="A2619" s="4" t="s">
        <v>6508</v>
      </c>
      <c r="B2619" s="5" t="s">
        <v>6508</v>
      </c>
      <c r="C2619" s="5" t="s">
        <v>27</v>
      </c>
      <c r="D2619" s="5" t="s">
        <v>28</v>
      </c>
      <c r="E2619" s="5" t="s">
        <v>172</v>
      </c>
      <c r="F2619" s="9">
        <v>38</v>
      </c>
      <c r="G2619" s="9">
        <v>424</v>
      </c>
      <c r="H2619" s="5" t="s">
        <v>20</v>
      </c>
      <c r="I2619" s="5" t="s">
        <v>6509</v>
      </c>
      <c r="J2619" s="12" t="str">
        <f>HYPERLINK("https://www.boe.es/gazeta/dias/1804/05/11/pdfs/GMD-1804-38.pdf#page=10","Abrir facsímil")</f>
        <v>Abrir facsímil</v>
      </c>
      <c r="K2619" s="15" t="s">
        <v>22</v>
      </c>
    </row>
    <row r="2620" spans="1:11" ht="42" customHeight="1">
      <c r="A2620" s="4" t="s">
        <v>6510</v>
      </c>
      <c r="B2620" s="5" t="s">
        <v>6510</v>
      </c>
      <c r="C2620" s="5" t="s">
        <v>65</v>
      </c>
      <c r="D2620" s="5" t="s">
        <v>66</v>
      </c>
      <c r="E2620" s="5" t="s">
        <v>19</v>
      </c>
      <c r="F2620" s="9">
        <v>60</v>
      </c>
      <c r="G2620" s="9">
        <v>668</v>
      </c>
      <c r="H2620" s="5" t="s">
        <v>20</v>
      </c>
      <c r="I2620" s="5" t="s">
        <v>6511</v>
      </c>
      <c r="J2620" s="12" t="str">
        <f>HYPERLINK("https://www.boe.es/gazeta/dias/1804/07/27/pdfs/GMD-1804-60.pdf#page=10","Abrir facsímil")</f>
        <v>Abrir facsímil</v>
      </c>
      <c r="K2620" s="15" t="s">
        <v>22</v>
      </c>
    </row>
    <row r="2621" spans="1:11" ht="42" customHeight="1">
      <c r="A2621" s="4" t="s">
        <v>6512</v>
      </c>
      <c r="B2621" s="5" t="s">
        <v>6512</v>
      </c>
      <c r="C2621" s="5" t="s">
        <v>27</v>
      </c>
      <c r="D2621" s="5" t="s">
        <v>28</v>
      </c>
      <c r="E2621" s="5" t="s">
        <v>264</v>
      </c>
      <c r="F2621" s="9">
        <v>49</v>
      </c>
      <c r="G2621" s="9">
        <v>545</v>
      </c>
      <c r="H2621" s="5" t="s">
        <v>20</v>
      </c>
      <c r="I2621" s="5" t="s">
        <v>6513</v>
      </c>
      <c r="J2621" s="12" t="str">
        <f>HYPERLINK("https://www.boe.es/gazeta/dias/1804/06/19/pdfs/GMD-1804-49.pdf#page=7","Abrir facsímil")</f>
        <v>Abrir facsímil</v>
      </c>
      <c r="K2621" s="15" t="s">
        <v>22</v>
      </c>
    </row>
    <row r="2622" spans="1:11" ht="42" customHeight="1">
      <c r="A2622" s="4" t="s">
        <v>6512</v>
      </c>
      <c r="B2622" s="5" t="s">
        <v>6512</v>
      </c>
      <c r="C2622" s="5" t="s">
        <v>27</v>
      </c>
      <c r="D2622" s="5" t="s">
        <v>28</v>
      </c>
      <c r="E2622" s="5" t="s">
        <v>251</v>
      </c>
      <c r="F2622" s="9">
        <v>79</v>
      </c>
      <c r="G2622" s="9">
        <v>881</v>
      </c>
      <c r="H2622" s="5" t="s">
        <v>20</v>
      </c>
      <c r="I2622" s="5" t="s">
        <v>6514</v>
      </c>
      <c r="J2622" s="12" t="str">
        <f>HYPERLINK("https://www.boe.es/gazeta/dias/1804/10/02/pdfs/GMD-1804-79.pdf#page=11","Abrir facsímil")</f>
        <v>Abrir facsímil</v>
      </c>
      <c r="K2622" s="15" t="s">
        <v>22</v>
      </c>
    </row>
    <row r="2623" spans="1:11" ht="42" customHeight="1">
      <c r="A2623" s="4" t="s">
        <v>6512</v>
      </c>
      <c r="B2623" s="5" t="s">
        <v>6512</v>
      </c>
      <c r="C2623" s="5" t="s">
        <v>65</v>
      </c>
      <c r="D2623" s="5" t="s">
        <v>66</v>
      </c>
      <c r="E2623" s="5" t="s">
        <v>43</v>
      </c>
      <c r="F2623" s="9">
        <v>84</v>
      </c>
      <c r="G2623" s="9">
        <v>929</v>
      </c>
      <c r="H2623" s="5" t="s">
        <v>20</v>
      </c>
      <c r="I2623" s="5" t="s">
        <v>6515</v>
      </c>
      <c r="J2623" s="12" t="str">
        <f>HYPERLINK("https://www.boe.es/gazeta/dias/1804/10/19/pdfs/GMD-1804-84.pdf#page=7","Abrir facsímil")</f>
        <v>Abrir facsímil</v>
      </c>
      <c r="K2623" s="15" t="s">
        <v>22</v>
      </c>
    </row>
    <row r="2624" spans="1:11" ht="42" customHeight="1">
      <c r="A2624" s="4" t="s">
        <v>6512</v>
      </c>
      <c r="B2624" s="5" t="s">
        <v>6512</v>
      </c>
      <c r="C2624" s="5" t="s">
        <v>27</v>
      </c>
      <c r="D2624" s="5" t="s">
        <v>28</v>
      </c>
      <c r="E2624" s="5" t="s">
        <v>308</v>
      </c>
      <c r="F2624" s="9">
        <v>96</v>
      </c>
      <c r="G2624" s="9">
        <v>1071</v>
      </c>
      <c r="H2624" s="5" t="s">
        <v>20</v>
      </c>
      <c r="I2624" s="5" t="s">
        <v>6516</v>
      </c>
      <c r="J2624" s="12" t="str">
        <f>HYPERLINK("https://www.boe.es/gazeta/dias/1804/11/30/pdfs/GMD-1804-96.pdf#page=11","Abrir facsímil")</f>
        <v>Abrir facsímil</v>
      </c>
      <c r="K2624" s="15" t="s">
        <v>22</v>
      </c>
    </row>
    <row r="2625" spans="1:11" ht="42" customHeight="1">
      <c r="A2625" s="4" t="s">
        <v>6517</v>
      </c>
      <c r="B2625" s="5" t="s">
        <v>6518</v>
      </c>
      <c r="C2625" s="5" t="s">
        <v>27</v>
      </c>
      <c r="D2625" s="5" t="s">
        <v>28</v>
      </c>
      <c r="E2625" s="5" t="s">
        <v>317</v>
      </c>
      <c r="F2625" s="9">
        <v>56</v>
      </c>
      <c r="G2625" s="9">
        <v>620</v>
      </c>
      <c r="H2625" s="5" t="s">
        <v>20</v>
      </c>
      <c r="I2625" s="5" t="s">
        <v>6519</v>
      </c>
      <c r="J2625" s="12" t="str">
        <f>HYPERLINK("https://www.boe.es/gazeta/dias/1804/07/13/pdfs/GMD-1804-56.pdf#page=6","Abrir facsímil")</f>
        <v>Abrir facsímil</v>
      </c>
      <c r="K2625" s="15" t="s">
        <v>22</v>
      </c>
    </row>
    <row r="2626" spans="1:11" ht="42" customHeight="1">
      <c r="A2626" s="4" t="s">
        <v>6520</v>
      </c>
      <c r="B2626" s="5" t="s">
        <v>6520</v>
      </c>
      <c r="C2626" s="5" t="s">
        <v>27</v>
      </c>
      <c r="D2626" s="5" t="s">
        <v>28</v>
      </c>
      <c r="E2626" s="5" t="s">
        <v>251</v>
      </c>
      <c r="F2626" s="9">
        <v>79</v>
      </c>
      <c r="G2626" s="9">
        <v>879</v>
      </c>
      <c r="H2626" s="5" t="s">
        <v>20</v>
      </c>
      <c r="I2626" s="5" t="s">
        <v>6521</v>
      </c>
      <c r="J2626" s="12" t="str">
        <f>HYPERLINK("https://www.boe.es/gazeta/dias/1804/10/02/pdfs/GMD-1804-79.pdf#page=9","Abrir facsímil")</f>
        <v>Abrir facsímil</v>
      </c>
      <c r="K2626" s="15" t="s">
        <v>22</v>
      </c>
    </row>
    <row r="2627" spans="1:11" ht="42" customHeight="1">
      <c r="A2627" s="4" t="s">
        <v>6522</v>
      </c>
      <c r="B2627" s="5" t="s">
        <v>6523</v>
      </c>
      <c r="C2627" s="5" t="s">
        <v>57</v>
      </c>
      <c r="D2627" s="5" t="s">
        <v>58</v>
      </c>
      <c r="E2627" s="5" t="s">
        <v>800</v>
      </c>
      <c r="F2627" s="9">
        <v>45</v>
      </c>
      <c r="G2627" s="9">
        <v>496</v>
      </c>
      <c r="H2627" s="5" t="s">
        <v>20</v>
      </c>
      <c r="I2627" s="5" t="s">
        <v>6524</v>
      </c>
      <c r="J2627" s="12" t="str">
        <f>HYPERLINK("https://www.boe.es/gazeta/dias/1804/06/05/pdfs/GMD-1804-45.pdf#page=6","Abrir facsímil")</f>
        <v>Abrir facsímil</v>
      </c>
      <c r="K2627" s="15" t="s">
        <v>22</v>
      </c>
    </row>
    <row r="2628" spans="1:11" ht="42" customHeight="1">
      <c r="A2628" s="4" t="s">
        <v>6525</v>
      </c>
      <c r="B2628" s="5" t="s">
        <v>6525</v>
      </c>
      <c r="C2628" s="5" t="s">
        <v>27</v>
      </c>
      <c r="D2628" s="5" t="s">
        <v>28</v>
      </c>
      <c r="E2628" s="5" t="s">
        <v>172</v>
      </c>
      <c r="F2628" s="9">
        <v>38</v>
      </c>
      <c r="G2628" s="9">
        <v>416</v>
      </c>
      <c r="H2628" s="5" t="s">
        <v>20</v>
      </c>
      <c r="I2628" s="5" t="s">
        <v>6526</v>
      </c>
      <c r="J2628" s="12" t="str">
        <f>HYPERLINK("https://www.boe.es/gazeta/dias/1804/05/11/pdfs/GMD-1804-38.pdf#page=2","Abrir facsímil")</f>
        <v>Abrir facsímil</v>
      </c>
      <c r="K2628" s="15" t="s">
        <v>22</v>
      </c>
    </row>
    <row r="2629" spans="1:11" ht="42" customHeight="1">
      <c r="A2629" s="4" t="s">
        <v>6527</v>
      </c>
      <c r="B2629" s="5" t="s">
        <v>6528</v>
      </c>
      <c r="C2629" s="5" t="s">
        <v>57</v>
      </c>
      <c r="D2629" s="5" t="s">
        <v>58</v>
      </c>
      <c r="E2629" s="5" t="s">
        <v>576</v>
      </c>
      <c r="F2629" s="9">
        <v>85</v>
      </c>
      <c r="G2629" s="9">
        <v>936</v>
      </c>
      <c r="H2629" s="5" t="s">
        <v>20</v>
      </c>
      <c r="I2629" s="5" t="s">
        <v>6529</v>
      </c>
      <c r="J2629" s="12" t="str">
        <f>HYPERLINK("https://www.boe.es/gazeta/dias/1804/10/23/pdfs/GMD-1804-85.pdf#page=6","Abrir facsímil")</f>
        <v>Abrir facsímil</v>
      </c>
      <c r="K2629" s="15" t="s">
        <v>22</v>
      </c>
    </row>
    <row r="2630" spans="1:11" ht="42" customHeight="1">
      <c r="A2630" s="4" t="s">
        <v>6530</v>
      </c>
      <c r="B2630" s="5" t="s">
        <v>6531</v>
      </c>
      <c r="C2630" s="5" t="s">
        <v>17</v>
      </c>
      <c r="D2630" s="5" t="s">
        <v>18</v>
      </c>
      <c r="E2630" s="5" t="s">
        <v>1095</v>
      </c>
      <c r="F2630" s="9">
        <v>73</v>
      </c>
      <c r="G2630" s="9">
        <v>819</v>
      </c>
      <c r="H2630" s="5" t="s">
        <v>20</v>
      </c>
      <c r="I2630" s="5" t="s">
        <v>6532</v>
      </c>
      <c r="J2630" s="12" t="str">
        <f>HYPERLINK("https://www.boe.es/gazeta/dias/1804/09/11/pdfs/GMD-1804-73.pdf#page=9","Abrir facsímil")</f>
        <v>Abrir facsímil</v>
      </c>
      <c r="K2630" s="15" t="s">
        <v>22</v>
      </c>
    </row>
    <row r="2631" spans="1:11" ht="42" customHeight="1">
      <c r="A2631" s="4" t="s">
        <v>6533</v>
      </c>
      <c r="B2631" s="5" t="s">
        <v>6534</v>
      </c>
      <c r="C2631" s="5" t="s">
        <v>27</v>
      </c>
      <c r="D2631" s="5" t="s">
        <v>28</v>
      </c>
      <c r="E2631" s="5" t="s">
        <v>67</v>
      </c>
      <c r="F2631" s="9">
        <v>59</v>
      </c>
      <c r="G2631" s="9">
        <v>652</v>
      </c>
      <c r="H2631" s="5" t="s">
        <v>20</v>
      </c>
      <c r="I2631" s="5" t="s">
        <v>6535</v>
      </c>
      <c r="J2631" s="12" t="str">
        <f>HYPERLINK("https://www.boe.es/gazeta/dias/1804/07/24/pdfs/GMD-1804-59.pdf#page=6","Abrir facsímil")</f>
        <v>Abrir facsímil</v>
      </c>
      <c r="K2631" s="15" t="s">
        <v>22</v>
      </c>
    </row>
    <row r="2632" spans="1:11" ht="42" customHeight="1">
      <c r="A2632" s="4" t="s">
        <v>6536</v>
      </c>
      <c r="B2632" s="5" t="s">
        <v>6536</v>
      </c>
      <c r="C2632" s="5" t="s">
        <v>57</v>
      </c>
      <c r="D2632" s="5" t="s">
        <v>58</v>
      </c>
      <c r="E2632" s="5" t="s">
        <v>1095</v>
      </c>
      <c r="F2632" s="9">
        <v>73</v>
      </c>
      <c r="G2632" s="9">
        <v>814</v>
      </c>
      <c r="H2632" s="5" t="s">
        <v>20</v>
      </c>
      <c r="I2632" s="5" t="s">
        <v>6537</v>
      </c>
      <c r="J2632" s="12" t="str">
        <f>HYPERLINK("https://www.boe.es/gazeta/dias/1804/09/11/pdfs/GMD-1804-73.pdf#page=4","Abrir facsímil")</f>
        <v>Abrir facsímil</v>
      </c>
      <c r="K2632" s="15" t="s">
        <v>22</v>
      </c>
    </row>
    <row r="2633" spans="1:11" ht="42" customHeight="1">
      <c r="A2633" s="4" t="s">
        <v>6538</v>
      </c>
      <c r="B2633" s="5" t="s">
        <v>6538</v>
      </c>
      <c r="C2633" s="5" t="s">
        <v>57</v>
      </c>
      <c r="D2633" s="5" t="s">
        <v>58</v>
      </c>
      <c r="E2633" s="5" t="s">
        <v>50</v>
      </c>
      <c r="F2633" s="9">
        <v>93</v>
      </c>
      <c r="G2633" s="9">
        <v>1027</v>
      </c>
      <c r="H2633" s="5" t="s">
        <v>20</v>
      </c>
      <c r="I2633" s="5" t="s">
        <v>6539</v>
      </c>
      <c r="J2633" s="12" t="str">
        <f>HYPERLINK("https://www.boe.es/gazeta/dias/1804/11/20/pdfs/GMD-1804-93.pdf#page=3","Abrir facsímil")</f>
        <v>Abrir facsímil</v>
      </c>
      <c r="K2633" s="15" t="s">
        <v>22</v>
      </c>
    </row>
    <row r="2634" spans="1:11" ht="42" customHeight="1">
      <c r="A2634" s="4" t="s">
        <v>6540</v>
      </c>
      <c r="B2634" s="5" t="s">
        <v>6540</v>
      </c>
      <c r="C2634" s="5" t="s">
        <v>57</v>
      </c>
      <c r="D2634" s="5" t="s">
        <v>58</v>
      </c>
      <c r="E2634" s="5" t="s">
        <v>199</v>
      </c>
      <c r="F2634" s="9">
        <v>46</v>
      </c>
      <c r="G2634" s="9">
        <v>509</v>
      </c>
      <c r="H2634" s="5" t="s">
        <v>20</v>
      </c>
      <c r="I2634" s="5" t="s">
        <v>6541</v>
      </c>
      <c r="J2634" s="12" t="str">
        <f>HYPERLINK("https://www.boe.es/gazeta/dias/1804/06/08/pdfs/GMD-1804-46.pdf#page=7","Abrir facsímil")</f>
        <v>Abrir facsímil</v>
      </c>
      <c r="K2634" s="15" t="s">
        <v>22</v>
      </c>
    </row>
    <row r="2635" spans="1:11" ht="42" customHeight="1">
      <c r="A2635" s="4" t="s">
        <v>6540</v>
      </c>
      <c r="B2635" s="5" t="s">
        <v>6540</v>
      </c>
      <c r="C2635" s="5" t="s">
        <v>57</v>
      </c>
      <c r="D2635" s="5" t="s">
        <v>58</v>
      </c>
      <c r="E2635" s="5" t="s">
        <v>264</v>
      </c>
      <c r="F2635" s="9">
        <v>49</v>
      </c>
      <c r="G2635" s="9">
        <v>542</v>
      </c>
      <c r="H2635" s="5" t="s">
        <v>20</v>
      </c>
      <c r="I2635" s="5" t="s">
        <v>6542</v>
      </c>
      <c r="J2635" s="12" t="str">
        <f>HYPERLINK("https://www.boe.es/gazeta/dias/1804/06/19/pdfs/GMD-1804-49.pdf#page=4","Abrir facsímil")</f>
        <v>Abrir facsímil</v>
      </c>
      <c r="K2635" s="15" t="s">
        <v>22</v>
      </c>
    </row>
    <row r="2636" spans="1:11" ht="42" customHeight="1">
      <c r="A2636" s="4" t="s">
        <v>6540</v>
      </c>
      <c r="B2636" s="5" t="s">
        <v>6540</v>
      </c>
      <c r="C2636" s="5" t="s">
        <v>57</v>
      </c>
      <c r="D2636" s="5" t="s">
        <v>58</v>
      </c>
      <c r="E2636" s="5" t="s">
        <v>542</v>
      </c>
      <c r="F2636" s="9">
        <v>54</v>
      </c>
      <c r="G2636" s="9">
        <v>598</v>
      </c>
      <c r="H2636" s="5" t="s">
        <v>20</v>
      </c>
      <c r="I2636" s="5" t="s">
        <v>6543</v>
      </c>
      <c r="J2636" s="12" t="str">
        <f>HYPERLINK("https://www.boe.es/gazeta/dias/1804/07/06/pdfs/GMD-1804-54.pdf#page=4","Abrir facsímil")</f>
        <v>Abrir facsímil</v>
      </c>
      <c r="K2636" s="15" t="s">
        <v>22</v>
      </c>
    </row>
    <row r="2637" spans="1:11" ht="42" customHeight="1">
      <c r="A2637" s="4" t="s">
        <v>6544</v>
      </c>
      <c r="B2637" s="5" t="s">
        <v>6544</v>
      </c>
      <c r="C2637" s="5" t="s">
        <v>57</v>
      </c>
      <c r="D2637" s="5" t="s">
        <v>58</v>
      </c>
      <c r="E2637" s="5" t="s">
        <v>670</v>
      </c>
      <c r="F2637" s="9">
        <v>41</v>
      </c>
      <c r="G2637" s="9">
        <v>456</v>
      </c>
      <c r="H2637" s="5" t="s">
        <v>20</v>
      </c>
      <c r="I2637" s="5" t="s">
        <v>6545</v>
      </c>
      <c r="J2637" s="12" t="str">
        <f>HYPERLINK("https://www.boe.es/gazeta/dias/1804/05/22/pdfs/GMD-1804-41.pdf#page=6","Abrir facsímil")</f>
        <v>Abrir facsímil</v>
      </c>
      <c r="K2637" s="15" t="s">
        <v>22</v>
      </c>
    </row>
    <row r="2638" spans="1:11" ht="42" customHeight="1">
      <c r="A2638" s="4" t="s">
        <v>6546</v>
      </c>
      <c r="B2638" s="5" t="s">
        <v>6546</v>
      </c>
      <c r="C2638" s="5" t="s">
        <v>57</v>
      </c>
      <c r="D2638" s="5" t="s">
        <v>58</v>
      </c>
      <c r="E2638" s="5" t="s">
        <v>23</v>
      </c>
      <c r="F2638" s="9">
        <v>91</v>
      </c>
      <c r="G2638" s="9">
        <v>1005</v>
      </c>
      <c r="H2638" s="5" t="s">
        <v>20</v>
      </c>
      <c r="I2638" s="5" t="s">
        <v>6547</v>
      </c>
      <c r="J2638" s="12" t="str">
        <f>HYPERLINK("https://www.boe.es/gazeta/dias/1804/11/13/pdfs/GMD-1804-91.pdf#page=5","Abrir facsímil")</f>
        <v>Abrir facsímil</v>
      </c>
      <c r="K2638" s="15" t="s">
        <v>22</v>
      </c>
    </row>
    <row r="2639" spans="1:11" ht="42" customHeight="1">
      <c r="A2639" s="4" t="s">
        <v>6548</v>
      </c>
      <c r="B2639" s="5" t="s">
        <v>6548</v>
      </c>
      <c r="C2639" s="5" t="s">
        <v>85</v>
      </c>
      <c r="D2639" s="5" t="s">
        <v>86</v>
      </c>
      <c r="E2639" s="5" t="s">
        <v>143</v>
      </c>
      <c r="F2639" s="9">
        <v>87</v>
      </c>
      <c r="G2639" s="9">
        <v>966</v>
      </c>
      <c r="H2639" s="5" t="s">
        <v>20</v>
      </c>
      <c r="I2639" s="5" t="s">
        <v>6549</v>
      </c>
      <c r="J2639" s="12" t="str">
        <f>HYPERLINK("https://www.boe.es/gazeta/dias/1804/10/30/pdfs/GMD-1804-87.pdf#page=10","Abrir facsímil")</f>
        <v>Abrir facsímil</v>
      </c>
      <c r="K2639" s="15" t="s">
        <v>22</v>
      </c>
    </row>
    <row r="2640" spans="1:11" ht="42" customHeight="1">
      <c r="A2640" s="4" t="s">
        <v>6550</v>
      </c>
      <c r="B2640" s="5" t="s">
        <v>6550</v>
      </c>
      <c r="C2640" s="5" t="s">
        <v>57</v>
      </c>
      <c r="D2640" s="5" t="s">
        <v>58</v>
      </c>
      <c r="E2640" s="5" t="s">
        <v>576</v>
      </c>
      <c r="F2640" s="9">
        <v>85</v>
      </c>
      <c r="G2640" s="9">
        <v>931</v>
      </c>
      <c r="H2640" s="5" t="s">
        <v>20</v>
      </c>
      <c r="I2640" s="5" t="s">
        <v>6551</v>
      </c>
      <c r="J2640" s="12" t="str">
        <f>HYPERLINK("https://www.boe.es/gazeta/dias/1804/10/23/pdfs/GMD-1804-85.pdf#page=1","Abrir facsímil")</f>
        <v>Abrir facsímil</v>
      </c>
      <c r="K2640" s="15" t="s">
        <v>22</v>
      </c>
    </row>
    <row r="2641" spans="1:11" ht="42" customHeight="1">
      <c r="A2641" s="4" t="s">
        <v>6552</v>
      </c>
      <c r="B2641" s="5" t="s">
        <v>6552</v>
      </c>
      <c r="C2641" s="5" t="s">
        <v>85</v>
      </c>
      <c r="D2641" s="5" t="s">
        <v>86</v>
      </c>
      <c r="E2641" s="5" t="s">
        <v>33</v>
      </c>
      <c r="F2641" s="9">
        <v>48</v>
      </c>
      <c r="G2641" s="9">
        <v>538</v>
      </c>
      <c r="H2641" s="5" t="s">
        <v>20</v>
      </c>
      <c r="I2641" s="5" t="s">
        <v>6553</v>
      </c>
      <c r="J2641" s="12" t="str">
        <f>HYPERLINK("https://www.boe.es/gazeta/dias/1804/06/15/pdfs/GMD-1804-48.pdf#page=8","Abrir facsímil")</f>
        <v>Abrir facsímil</v>
      </c>
      <c r="K2641" s="15" t="s">
        <v>22</v>
      </c>
    </row>
    <row r="2642" spans="1:11" ht="42" customHeight="1">
      <c r="A2642" s="4" t="s">
        <v>6552</v>
      </c>
      <c r="B2642" s="5" t="s">
        <v>6552</v>
      </c>
      <c r="C2642" s="5" t="s">
        <v>85</v>
      </c>
      <c r="D2642" s="5" t="s">
        <v>86</v>
      </c>
      <c r="E2642" s="5" t="s">
        <v>81</v>
      </c>
      <c r="F2642" s="9">
        <v>98</v>
      </c>
      <c r="G2642" s="9">
        <v>1091</v>
      </c>
      <c r="H2642" s="5" t="s">
        <v>20</v>
      </c>
      <c r="I2642" s="5" t="s">
        <v>6554</v>
      </c>
      <c r="J2642" s="12" t="str">
        <f>HYPERLINK("https://www.boe.es/gazeta/dias/1804/12/07/pdfs/GMD-1804-98.pdf#page=7","Abrir facsímil")</f>
        <v>Abrir facsímil</v>
      </c>
      <c r="K2642" s="15" t="s">
        <v>22</v>
      </c>
    </row>
    <row r="2643" spans="1:11" ht="42" customHeight="1">
      <c r="A2643" s="4" t="s">
        <v>6552</v>
      </c>
      <c r="B2643" s="5" t="s">
        <v>6552</v>
      </c>
      <c r="C2643" s="5" t="s">
        <v>85</v>
      </c>
      <c r="D2643" s="5" t="s">
        <v>86</v>
      </c>
      <c r="E2643" s="5" t="s">
        <v>191</v>
      </c>
      <c r="F2643" s="9">
        <v>101</v>
      </c>
      <c r="G2643" s="9">
        <v>1131</v>
      </c>
      <c r="H2643" s="5" t="s">
        <v>20</v>
      </c>
      <c r="I2643" s="5" t="s">
        <v>6555</v>
      </c>
      <c r="J2643" s="12" t="str">
        <f>HYPERLINK("https://www.boe.es/gazeta/dias/1804/12/18/pdfs/GMD-1804-101.pdf#page=11","Abrir facsímil")</f>
        <v>Abrir facsímil</v>
      </c>
      <c r="K2643" s="15" t="s">
        <v>22</v>
      </c>
    </row>
    <row r="2644" spans="1:11" ht="42" customHeight="1">
      <c r="A2644" s="4" t="s">
        <v>6556</v>
      </c>
      <c r="B2644" s="5" t="s">
        <v>6556</v>
      </c>
      <c r="C2644" s="5" t="s">
        <v>27</v>
      </c>
      <c r="D2644" s="5" t="s">
        <v>28</v>
      </c>
      <c r="E2644" s="5" t="s">
        <v>54</v>
      </c>
      <c r="F2644" s="9">
        <v>63</v>
      </c>
      <c r="G2644" s="9">
        <v>701</v>
      </c>
      <c r="H2644" s="5" t="s">
        <v>20</v>
      </c>
      <c r="I2644" s="5" t="s">
        <v>6557</v>
      </c>
      <c r="J2644" s="12" t="str">
        <f>HYPERLINK("https://www.boe.es/gazeta/dias/1804/08/07/pdfs/GMD-1804-63.pdf#page=11","Abrir facsímil")</f>
        <v>Abrir facsímil</v>
      </c>
      <c r="K2644" s="15" t="s">
        <v>22</v>
      </c>
    </row>
    <row r="2645" spans="1:11" ht="42" customHeight="1">
      <c r="A2645" s="4" t="s">
        <v>6558</v>
      </c>
      <c r="B2645" s="5" t="s">
        <v>6559</v>
      </c>
      <c r="C2645" s="5" t="s">
        <v>17</v>
      </c>
      <c r="D2645" s="5" t="s">
        <v>18</v>
      </c>
      <c r="E2645" s="5" t="s">
        <v>37</v>
      </c>
      <c r="F2645" s="9">
        <v>29</v>
      </c>
      <c r="G2645" s="9">
        <v>318</v>
      </c>
      <c r="H2645" s="5" t="s">
        <v>20</v>
      </c>
      <c r="I2645" s="5" t="s">
        <v>6560</v>
      </c>
      <c r="J2645" s="12" t="str">
        <f>HYPERLINK("https://www.boe.es/gazeta/dias/1804/04/10/pdfs/GMD-1804-29.pdf#page=8","Abrir facsímil")</f>
        <v>Abrir facsímil</v>
      </c>
      <c r="K2645" s="15" t="s">
        <v>22</v>
      </c>
    </row>
    <row r="2646" spans="1:11" ht="42" customHeight="1">
      <c r="A2646" s="4" t="s">
        <v>6561</v>
      </c>
      <c r="B2646" s="5" t="s">
        <v>6561</v>
      </c>
      <c r="C2646" s="5" t="s">
        <v>17</v>
      </c>
      <c r="D2646" s="5" t="s">
        <v>18</v>
      </c>
      <c r="E2646" s="5" t="s">
        <v>421</v>
      </c>
      <c r="F2646" s="9">
        <v>47</v>
      </c>
      <c r="G2646" s="9">
        <v>528</v>
      </c>
      <c r="H2646" s="5" t="s">
        <v>20</v>
      </c>
      <c r="I2646" s="5" t="s">
        <v>6562</v>
      </c>
      <c r="J2646" s="12" t="str">
        <f>HYPERLINK("https://www.boe.es/gazeta/dias/1804/06/12/pdfs/GMD-1804-47.pdf#page=10","Abrir facsímil")</f>
        <v>Abrir facsímil</v>
      </c>
      <c r="K2646" s="15" t="s">
        <v>22</v>
      </c>
    </row>
    <row r="2647" spans="1:11" ht="42" customHeight="1">
      <c r="A2647" s="4" t="s">
        <v>6563</v>
      </c>
      <c r="B2647" s="5" t="s">
        <v>6563</v>
      </c>
      <c r="C2647" s="5" t="s">
        <v>120</v>
      </c>
      <c r="D2647" s="5" t="s">
        <v>121</v>
      </c>
      <c r="E2647" s="5" t="s">
        <v>33</v>
      </c>
      <c r="F2647" s="9">
        <v>48</v>
      </c>
      <c r="G2647" s="9" t="s">
        <v>122</v>
      </c>
      <c r="H2647" s="5" t="s">
        <v>20</v>
      </c>
      <c r="I2647" s="5" t="s">
        <v>6564</v>
      </c>
      <c r="J2647" s="12" t="str">
        <f>HYPERLINK("https://www.boe.es/gazeta/dias/1804/06/15/pdfs/GMD-C-1804-48.pdf#page=3","Abrir facsímil")</f>
        <v>Abrir facsímil</v>
      </c>
      <c r="K2647" s="15" t="s">
        <v>22</v>
      </c>
    </row>
    <row r="2648" spans="1:11" ht="42" customHeight="1">
      <c r="A2648" s="4" t="s">
        <v>6565</v>
      </c>
      <c r="B2648" s="5" t="s">
        <v>6565</v>
      </c>
      <c r="C2648" s="5" t="s">
        <v>27</v>
      </c>
      <c r="D2648" s="5" t="s">
        <v>28</v>
      </c>
      <c r="E2648" s="5" t="s">
        <v>308</v>
      </c>
      <c r="F2648" s="9">
        <v>96</v>
      </c>
      <c r="G2648" s="9">
        <v>1068</v>
      </c>
      <c r="H2648" s="5" t="s">
        <v>20</v>
      </c>
      <c r="I2648" s="5" t="s">
        <v>6566</v>
      </c>
      <c r="J2648" s="12" t="str">
        <f>HYPERLINK("https://www.boe.es/gazeta/dias/1804/11/30/pdfs/GMD-1804-96.pdf#page=8","Abrir facsímil")</f>
        <v>Abrir facsímil</v>
      </c>
      <c r="K2648" s="15" t="s">
        <v>22</v>
      </c>
    </row>
    <row r="2649" spans="1:11" ht="42" customHeight="1">
      <c r="A2649" s="4" t="s">
        <v>6567</v>
      </c>
      <c r="B2649" s="5" t="s">
        <v>6567</v>
      </c>
      <c r="C2649" s="5" t="s">
        <v>65</v>
      </c>
      <c r="D2649" s="5" t="s">
        <v>66</v>
      </c>
      <c r="E2649" s="5" t="s">
        <v>163</v>
      </c>
      <c r="F2649" s="9">
        <v>70</v>
      </c>
      <c r="G2649" s="9">
        <v>784</v>
      </c>
      <c r="H2649" s="5" t="s">
        <v>20</v>
      </c>
      <c r="I2649" s="5" t="s">
        <v>6568</v>
      </c>
      <c r="J2649" s="12" t="str">
        <f>HYPERLINK("https://www.boe.es/gazeta/dias/1804/08/31/pdfs/GMD-1804-70.pdf#page=6","Abrir facsímil")</f>
        <v>Abrir facsímil</v>
      </c>
      <c r="K2649" s="15" t="s">
        <v>22</v>
      </c>
    </row>
    <row r="2650" spans="1:11" ht="42" customHeight="1">
      <c r="A2650" s="4" t="s">
        <v>6569</v>
      </c>
      <c r="B2650" s="5" t="s">
        <v>6570</v>
      </c>
      <c r="C2650" s="5" t="s">
        <v>17</v>
      </c>
      <c r="D2650" s="5" t="s">
        <v>18</v>
      </c>
      <c r="E2650" s="5" t="s">
        <v>91</v>
      </c>
      <c r="F2650" s="9">
        <v>72</v>
      </c>
      <c r="G2650" s="9">
        <v>805</v>
      </c>
      <c r="H2650" s="5" t="s">
        <v>20</v>
      </c>
      <c r="I2650" s="5" t="s">
        <v>6571</v>
      </c>
      <c r="J2650" s="12" t="str">
        <f>HYPERLINK("https://www.boe.es/gazeta/dias/1804/09/07/pdfs/GMD-1804-72.pdf#page=7","Abrir facsímil")</f>
        <v>Abrir facsímil</v>
      </c>
      <c r="K2650" s="15" t="s">
        <v>22</v>
      </c>
    </row>
    <row r="2651" spans="1:11" ht="42" customHeight="1">
      <c r="A2651" s="4" t="s">
        <v>6572</v>
      </c>
      <c r="B2651" s="5" t="s">
        <v>6572</v>
      </c>
      <c r="C2651" s="5" t="s">
        <v>17</v>
      </c>
      <c r="D2651" s="5" t="s">
        <v>18</v>
      </c>
      <c r="E2651" s="5" t="s">
        <v>37</v>
      </c>
      <c r="F2651" s="9">
        <v>29</v>
      </c>
      <c r="G2651" s="9">
        <v>322</v>
      </c>
      <c r="H2651" s="5" t="s">
        <v>20</v>
      </c>
      <c r="I2651" s="5" t="s">
        <v>6573</v>
      </c>
      <c r="J2651" s="12" t="str">
        <f>HYPERLINK("https://www.boe.es/gazeta/dias/1804/04/10/pdfs/GMD-1804-29.pdf#page=12","Abrir facsímil")</f>
        <v>Abrir facsímil</v>
      </c>
      <c r="K2651" s="15" t="s">
        <v>22</v>
      </c>
    </row>
    <row r="2652" spans="1:11" ht="42" customHeight="1">
      <c r="A2652" s="4" t="s">
        <v>6574</v>
      </c>
      <c r="B2652" s="5" t="s">
        <v>6574</v>
      </c>
      <c r="C2652" s="5" t="s">
        <v>27</v>
      </c>
      <c r="D2652" s="5" t="s">
        <v>28</v>
      </c>
      <c r="E2652" s="5" t="s">
        <v>47</v>
      </c>
      <c r="F2652" s="9">
        <v>78</v>
      </c>
      <c r="G2652" s="9">
        <v>868</v>
      </c>
      <c r="H2652" s="5" t="s">
        <v>20</v>
      </c>
      <c r="I2652" s="5" t="s">
        <v>6575</v>
      </c>
      <c r="J2652" s="12" t="str">
        <f>HYPERLINK("https://www.boe.es/gazeta/dias/1804/09/28/pdfs/GMD-1804-78.pdf#page=6","Abrir facsímil")</f>
        <v>Abrir facsímil</v>
      </c>
      <c r="K2652" s="15" t="s">
        <v>22</v>
      </c>
    </row>
    <row r="2653" spans="1:11" ht="42" customHeight="1">
      <c r="A2653" s="4" t="s">
        <v>6576</v>
      </c>
      <c r="B2653" s="5" t="s">
        <v>6576</v>
      </c>
      <c r="C2653" s="5" t="s">
        <v>17</v>
      </c>
      <c r="D2653" s="5" t="s">
        <v>18</v>
      </c>
      <c r="E2653" s="5" t="s">
        <v>61</v>
      </c>
      <c r="F2653" s="9">
        <v>61</v>
      </c>
      <c r="G2653" s="9">
        <v>677</v>
      </c>
      <c r="H2653" s="5" t="s">
        <v>20</v>
      </c>
      <c r="I2653" s="5" t="s">
        <v>6577</v>
      </c>
      <c r="J2653" s="12" t="str">
        <f>HYPERLINK("https://www.boe.es/gazeta/dias/1804/07/31/pdfs/GMD-1804-61.pdf#page=7","Abrir facsímil")</f>
        <v>Abrir facsímil</v>
      </c>
      <c r="K2653" s="15" t="s">
        <v>22</v>
      </c>
    </row>
    <row r="2654" spans="1:11" ht="42" customHeight="1">
      <c r="A2654" s="4" t="s">
        <v>6578</v>
      </c>
      <c r="B2654" s="5" t="s">
        <v>6578</v>
      </c>
      <c r="C2654" s="5" t="s">
        <v>27</v>
      </c>
      <c r="D2654" s="5" t="s">
        <v>28</v>
      </c>
      <c r="E2654" s="5" t="s">
        <v>1449</v>
      </c>
      <c r="F2654" s="9">
        <v>8</v>
      </c>
      <c r="G2654" s="9">
        <v>86</v>
      </c>
      <c r="H2654" s="5" t="s">
        <v>20</v>
      </c>
      <c r="I2654" s="5" t="s">
        <v>6579</v>
      </c>
      <c r="J2654" s="12" t="str">
        <f>HYPERLINK("https://www.boe.es/gazeta/dias/1804/01/27/pdfs/GMD-1804-8.pdf#page=10","Abrir facsímil")</f>
        <v>Abrir facsímil</v>
      </c>
      <c r="K2654" s="15" t="s">
        <v>22</v>
      </c>
    </row>
    <row r="2655" spans="1:11" ht="42" customHeight="1">
      <c r="A2655" s="4" t="s">
        <v>6580</v>
      </c>
      <c r="B2655" s="5" t="s">
        <v>6581</v>
      </c>
      <c r="C2655" s="5" t="s">
        <v>17</v>
      </c>
      <c r="D2655" s="5" t="s">
        <v>18</v>
      </c>
      <c r="E2655" s="5" t="s">
        <v>332</v>
      </c>
      <c r="F2655" s="9">
        <v>66</v>
      </c>
      <c r="G2655" s="9">
        <v>741</v>
      </c>
      <c r="H2655" s="5" t="s">
        <v>20</v>
      </c>
      <c r="I2655" s="5" t="s">
        <v>6582</v>
      </c>
      <c r="J2655" s="12" t="str">
        <f>HYPERLINK("https://www.boe.es/gazeta/dias/1804/08/17/pdfs/GMD-1804-66.pdf#page=7","Abrir facsímil")</f>
        <v>Abrir facsímil</v>
      </c>
      <c r="K2655" s="15" t="s">
        <v>22</v>
      </c>
    </row>
    <row r="2656" spans="1:11" ht="42" customHeight="1">
      <c r="A2656" s="4" t="s">
        <v>6583</v>
      </c>
      <c r="B2656" s="5" t="s">
        <v>6583</v>
      </c>
      <c r="C2656" s="5" t="s">
        <v>198</v>
      </c>
      <c r="D2656" s="5" t="s">
        <v>66</v>
      </c>
      <c r="E2656" s="5" t="s">
        <v>109</v>
      </c>
      <c r="F2656" s="9">
        <v>35</v>
      </c>
      <c r="G2656" s="9">
        <v>387</v>
      </c>
      <c r="H2656" s="5" t="s">
        <v>20</v>
      </c>
      <c r="I2656" s="5" t="s">
        <v>6584</v>
      </c>
      <c r="J2656" s="12" t="str">
        <f>HYPERLINK("https://www.boe.es/gazeta/dias/1804/05/01/pdfs/GMD-1804-35.pdf#page=9","Abrir facsímil")</f>
        <v>Abrir facsímil</v>
      </c>
      <c r="K2656" s="15" t="s">
        <v>22</v>
      </c>
    </row>
    <row r="2657" spans="1:11" ht="42" customHeight="1">
      <c r="A2657" s="4" t="s">
        <v>6585</v>
      </c>
      <c r="B2657" s="5" t="s">
        <v>6585</v>
      </c>
      <c r="C2657" s="5" t="s">
        <v>27</v>
      </c>
      <c r="D2657" s="5" t="s">
        <v>28</v>
      </c>
      <c r="E2657" s="5" t="s">
        <v>320</v>
      </c>
      <c r="F2657" s="9">
        <v>31</v>
      </c>
      <c r="G2657" s="9">
        <v>343</v>
      </c>
      <c r="H2657" s="5" t="s">
        <v>20</v>
      </c>
      <c r="I2657" s="5" t="s">
        <v>6586</v>
      </c>
      <c r="J2657" s="12" t="str">
        <f>HYPERLINK("https://www.boe.es/gazeta/dias/1804/04/17/pdfs/GMD-1804-31.pdf#page=9","Abrir facsímil")</f>
        <v>Abrir facsímil</v>
      </c>
      <c r="K2657" s="15" t="s">
        <v>22</v>
      </c>
    </row>
    <row r="2658" spans="1:11" ht="42" customHeight="1">
      <c r="A2658" s="4" t="s">
        <v>6587</v>
      </c>
      <c r="B2658" s="5" t="s">
        <v>6587</v>
      </c>
      <c r="C2658" s="5" t="s">
        <v>17</v>
      </c>
      <c r="D2658" s="5" t="s">
        <v>18</v>
      </c>
      <c r="E2658" s="5" t="s">
        <v>360</v>
      </c>
      <c r="F2658" s="9">
        <v>81</v>
      </c>
      <c r="G2658" s="9">
        <v>896</v>
      </c>
      <c r="H2658" s="5" t="s">
        <v>20</v>
      </c>
      <c r="I2658" s="5" t="s">
        <v>6588</v>
      </c>
      <c r="J2658" s="12" t="str">
        <f>HYPERLINK("https://www.boe.es/gazeta/dias/1804/10/09/pdfs/GMD-1804-81.pdf#page=6","Abrir facsímil")</f>
        <v>Abrir facsímil</v>
      </c>
      <c r="K2658" s="15" t="s">
        <v>22</v>
      </c>
    </row>
    <row r="2659" spans="1:11" ht="42" customHeight="1">
      <c r="A2659" s="4" t="s">
        <v>6589</v>
      </c>
      <c r="B2659" s="5" t="s">
        <v>6589</v>
      </c>
      <c r="C2659" s="5" t="s">
        <v>198</v>
      </c>
      <c r="D2659" s="5" t="s">
        <v>66</v>
      </c>
      <c r="E2659" s="5" t="s">
        <v>54</v>
      </c>
      <c r="F2659" s="9">
        <v>63</v>
      </c>
      <c r="G2659" s="9">
        <v>696</v>
      </c>
      <c r="H2659" s="5" t="s">
        <v>20</v>
      </c>
      <c r="I2659" s="5" t="s">
        <v>6590</v>
      </c>
      <c r="J2659" s="12" t="str">
        <f>HYPERLINK("https://www.boe.es/gazeta/dias/1804/08/07/pdfs/GMD-1804-63.pdf#page=6","Abrir facsímil")</f>
        <v>Abrir facsímil</v>
      </c>
      <c r="K2659" s="15" t="s">
        <v>22</v>
      </c>
    </row>
    <row r="2660" spans="1:11" ht="42" customHeight="1">
      <c r="A2660" s="4" t="s">
        <v>6591</v>
      </c>
      <c r="B2660" s="5" t="s">
        <v>6592</v>
      </c>
      <c r="C2660" s="5" t="s">
        <v>57</v>
      </c>
      <c r="D2660" s="5" t="s">
        <v>58</v>
      </c>
      <c r="E2660" s="5" t="s">
        <v>490</v>
      </c>
      <c r="F2660" s="9">
        <v>100</v>
      </c>
      <c r="G2660" s="9">
        <v>1110</v>
      </c>
      <c r="H2660" s="5" t="s">
        <v>20</v>
      </c>
      <c r="I2660" s="5" t="s">
        <v>6593</v>
      </c>
      <c r="J2660" s="12" t="str">
        <f>HYPERLINK("https://www.boe.es/gazeta/dias/1804/12/14/pdfs/GMD-1804-100.pdf#page=2","Abrir facsímil")</f>
        <v>Abrir facsímil</v>
      </c>
      <c r="K2660" s="15" t="s">
        <v>22</v>
      </c>
    </row>
    <row r="2661" spans="1:11" ht="42" customHeight="1">
      <c r="A2661" s="4" t="s">
        <v>6594</v>
      </c>
      <c r="B2661" s="5" t="s">
        <v>6594</v>
      </c>
      <c r="C2661" s="5" t="s">
        <v>57</v>
      </c>
      <c r="D2661" s="5" t="s">
        <v>58</v>
      </c>
      <c r="E2661" s="5" t="s">
        <v>576</v>
      </c>
      <c r="F2661" s="9">
        <v>85</v>
      </c>
      <c r="G2661" s="9">
        <v>933</v>
      </c>
      <c r="H2661" s="5" t="s">
        <v>20</v>
      </c>
      <c r="I2661" s="5" t="s">
        <v>6595</v>
      </c>
      <c r="J2661" s="12" t="str">
        <f>HYPERLINK("https://www.boe.es/gazeta/dias/1804/10/23/pdfs/GMD-1804-85.pdf#page=3","Abrir facsímil")</f>
        <v>Abrir facsímil</v>
      </c>
      <c r="K2661" s="15" t="s">
        <v>22</v>
      </c>
    </row>
    <row r="2662" spans="1:11" ht="42" customHeight="1">
      <c r="A2662" s="4" t="s">
        <v>6596</v>
      </c>
      <c r="B2662" s="5" t="s">
        <v>6596</v>
      </c>
      <c r="C2662" s="5" t="s">
        <v>198</v>
      </c>
      <c r="D2662" s="5" t="s">
        <v>66</v>
      </c>
      <c r="E2662" s="5" t="s">
        <v>484</v>
      </c>
      <c r="F2662" s="9">
        <v>53</v>
      </c>
      <c r="G2662" s="9">
        <v>585</v>
      </c>
      <c r="H2662" s="5" t="s">
        <v>20</v>
      </c>
      <c r="I2662" s="5" t="s">
        <v>6597</v>
      </c>
      <c r="J2662" s="12" t="str">
        <f>HYPERLINK("https://www.boe.es/gazeta/dias/1804/07/03/pdfs/GMD-1804-53.pdf#page=3","Abrir facsímil")</f>
        <v>Abrir facsímil</v>
      </c>
      <c r="K2662" s="15" t="s">
        <v>22</v>
      </c>
    </row>
    <row r="2663" spans="1:11" ht="42" customHeight="1">
      <c r="A2663" s="4" t="s">
        <v>6598</v>
      </c>
      <c r="B2663" s="5" t="s">
        <v>6598</v>
      </c>
      <c r="C2663" s="5" t="s">
        <v>57</v>
      </c>
      <c r="D2663" s="5" t="s">
        <v>58</v>
      </c>
      <c r="E2663" s="5" t="s">
        <v>326</v>
      </c>
      <c r="F2663" s="9">
        <v>69</v>
      </c>
      <c r="G2663" s="9">
        <v>771</v>
      </c>
      <c r="H2663" s="5" t="s">
        <v>20</v>
      </c>
      <c r="I2663" s="5" t="s">
        <v>6599</v>
      </c>
      <c r="J2663" s="12" t="str">
        <f>HYPERLINK("https://www.boe.es/gazeta/dias/1804/08/28/pdfs/GMD-1804-69.pdf#page=5","Abrir facsímil")</f>
        <v>Abrir facsímil</v>
      </c>
      <c r="K2663" s="15" t="s">
        <v>22</v>
      </c>
    </row>
    <row r="2664" spans="1:11" ht="42" customHeight="1">
      <c r="A2664" s="4" t="s">
        <v>6600</v>
      </c>
      <c r="B2664" s="5" t="s">
        <v>6600</v>
      </c>
      <c r="C2664" s="5" t="s">
        <v>27</v>
      </c>
      <c r="D2664" s="5" t="s">
        <v>28</v>
      </c>
      <c r="E2664" s="5" t="s">
        <v>538</v>
      </c>
      <c r="F2664" s="9">
        <v>27</v>
      </c>
      <c r="G2664" s="9">
        <v>300</v>
      </c>
      <c r="H2664" s="5" t="s">
        <v>20</v>
      </c>
      <c r="I2664" s="5" t="s">
        <v>6601</v>
      </c>
      <c r="J2664" s="12" t="str">
        <f>HYPERLINK("https://www.boe.es/gazeta/dias/1804/04/03/pdfs/GMD-1804-27.pdf#page=6","Abrir facsímil")</f>
        <v>Abrir facsímil</v>
      </c>
      <c r="K2664" s="15" t="s">
        <v>22</v>
      </c>
    </row>
    <row r="2665" spans="1:11" ht="42" customHeight="1">
      <c r="A2665" s="4" t="s">
        <v>6602</v>
      </c>
      <c r="B2665" s="5" t="s">
        <v>6602</v>
      </c>
      <c r="C2665" s="5" t="s">
        <v>65</v>
      </c>
      <c r="D2665" s="5" t="s">
        <v>66</v>
      </c>
      <c r="E2665" s="5" t="s">
        <v>666</v>
      </c>
      <c r="F2665" s="9">
        <v>57</v>
      </c>
      <c r="G2665" s="9">
        <v>634</v>
      </c>
      <c r="H2665" s="5" t="s">
        <v>20</v>
      </c>
      <c r="I2665" s="5" t="s">
        <v>6603</v>
      </c>
      <c r="J2665" s="12" t="str">
        <f>HYPERLINK("https://www.boe.es/gazeta/dias/1804/07/17/pdfs/GMD-1804-57.pdf#page=12","Abrir facsímil")</f>
        <v>Abrir facsímil</v>
      </c>
      <c r="K2665" s="15" t="s">
        <v>22</v>
      </c>
    </row>
    <row r="2666" spans="1:11" ht="42" customHeight="1">
      <c r="A2666" s="4" t="s">
        <v>6604</v>
      </c>
      <c r="B2666" s="5" t="s">
        <v>6604</v>
      </c>
      <c r="C2666" s="5" t="s">
        <v>17</v>
      </c>
      <c r="D2666" s="5" t="s">
        <v>18</v>
      </c>
      <c r="E2666" s="5" t="s">
        <v>71</v>
      </c>
      <c r="F2666" s="9">
        <v>99</v>
      </c>
      <c r="G2666" s="9">
        <v>1106</v>
      </c>
      <c r="H2666" s="5" t="s">
        <v>20</v>
      </c>
      <c r="I2666" s="5" t="s">
        <v>6605</v>
      </c>
      <c r="J2666" s="12" t="str">
        <f>HYPERLINK("https://www.boe.es/gazeta/dias/1804/12/11/pdfs/GMD-1804-99.pdf#page=6","Abrir facsímil")</f>
        <v>Abrir facsímil</v>
      </c>
      <c r="K2666" s="15" t="s">
        <v>22</v>
      </c>
    </row>
    <row r="2667" spans="1:11" ht="42" customHeight="1">
      <c r="A2667" s="4" t="s">
        <v>6606</v>
      </c>
      <c r="B2667" s="5" t="s">
        <v>6607</v>
      </c>
      <c r="C2667" s="5" t="s">
        <v>27</v>
      </c>
      <c r="D2667" s="5" t="s">
        <v>28</v>
      </c>
      <c r="E2667" s="5" t="s">
        <v>670</v>
      </c>
      <c r="F2667" s="9">
        <v>41</v>
      </c>
      <c r="G2667" s="9">
        <v>454</v>
      </c>
      <c r="H2667" s="5" t="s">
        <v>20</v>
      </c>
      <c r="I2667" s="5" t="s">
        <v>6608</v>
      </c>
      <c r="J2667" s="12" t="str">
        <f>HYPERLINK("https://www.boe.es/gazeta/dias/1804/05/22/pdfs/GMD-1804-41.pdf#page=4","Abrir facsímil")</f>
        <v>Abrir facsímil</v>
      </c>
      <c r="K2667" s="15" t="s">
        <v>22</v>
      </c>
    </row>
    <row r="2668" spans="1:11" ht="42" customHeight="1">
      <c r="A2668" s="4" t="s">
        <v>6609</v>
      </c>
      <c r="B2668" s="5" t="s">
        <v>6609</v>
      </c>
      <c r="C2668" s="5" t="s">
        <v>17</v>
      </c>
      <c r="D2668" s="5" t="s">
        <v>18</v>
      </c>
      <c r="E2668" s="5" t="s">
        <v>37</v>
      </c>
      <c r="F2668" s="9">
        <v>29</v>
      </c>
      <c r="G2668" s="9">
        <v>318</v>
      </c>
      <c r="H2668" s="5" t="s">
        <v>20</v>
      </c>
      <c r="I2668" s="5" t="s">
        <v>6610</v>
      </c>
      <c r="J2668" s="12" t="str">
        <f>HYPERLINK("https://www.boe.es/gazeta/dias/1804/04/10/pdfs/GMD-1804-29.pdf#page=8","Abrir facsímil")</f>
        <v>Abrir facsímil</v>
      </c>
      <c r="K2668" s="15" t="s">
        <v>22</v>
      </c>
    </row>
    <row r="2669" spans="1:11" ht="42" customHeight="1">
      <c r="A2669" s="4" t="s">
        <v>6611</v>
      </c>
      <c r="B2669" s="5" t="s">
        <v>6611</v>
      </c>
      <c r="C2669" s="5" t="s">
        <v>27</v>
      </c>
      <c r="D2669" s="5" t="s">
        <v>28</v>
      </c>
      <c r="E2669" s="5" t="s">
        <v>178</v>
      </c>
      <c r="F2669" s="9">
        <v>20</v>
      </c>
      <c r="G2669" s="9">
        <v>219</v>
      </c>
      <c r="H2669" s="5" t="s">
        <v>20</v>
      </c>
      <c r="I2669" s="5" t="s">
        <v>6612</v>
      </c>
      <c r="J2669" s="12" t="str">
        <f>HYPERLINK("https://www.boe.es/gazeta/dias/1804/03/09/pdfs/GMD-1804-20.pdf#page=7","Abrir facsímil")</f>
        <v>Abrir facsímil</v>
      </c>
      <c r="K2669" s="15" t="s">
        <v>22</v>
      </c>
    </row>
    <row r="2670" spans="1:11" ht="42" customHeight="1">
      <c r="A2670" s="4" t="s">
        <v>6613</v>
      </c>
      <c r="B2670" s="5" t="s">
        <v>6613</v>
      </c>
      <c r="C2670" s="5" t="s">
        <v>27</v>
      </c>
      <c r="D2670" s="5" t="s">
        <v>28</v>
      </c>
      <c r="E2670" s="5" t="s">
        <v>19</v>
      </c>
      <c r="F2670" s="9">
        <v>60</v>
      </c>
      <c r="G2670" s="9">
        <v>665</v>
      </c>
      <c r="H2670" s="5" t="s">
        <v>20</v>
      </c>
      <c r="I2670" s="5" t="s">
        <v>6614</v>
      </c>
      <c r="J2670" s="12" t="str">
        <f>HYPERLINK("https://www.boe.es/gazeta/dias/1804/07/27/pdfs/GMD-1804-60.pdf#page=7","Abrir facsímil")</f>
        <v>Abrir facsímil</v>
      </c>
      <c r="K2670" s="15" t="s">
        <v>22</v>
      </c>
    </row>
    <row r="2671" spans="1:11" ht="42" customHeight="1">
      <c r="A2671" s="4" t="s">
        <v>6615</v>
      </c>
      <c r="B2671" s="5" t="s">
        <v>6615</v>
      </c>
      <c r="C2671" s="5" t="s">
        <v>120</v>
      </c>
      <c r="D2671" s="5" t="s">
        <v>121</v>
      </c>
      <c r="E2671" s="5" t="s">
        <v>33</v>
      </c>
      <c r="F2671" s="9">
        <v>48</v>
      </c>
      <c r="G2671" s="9" t="s">
        <v>285</v>
      </c>
      <c r="H2671" s="5" t="s">
        <v>20</v>
      </c>
      <c r="I2671" s="5" t="s">
        <v>6616</v>
      </c>
      <c r="J2671" s="12" t="str">
        <f>HYPERLINK("https://www.boe.es/gazeta/dias/1804/06/15/pdfs/GMD-C-1804-48.pdf#page=2","Abrir facsímil")</f>
        <v>Abrir facsímil</v>
      </c>
      <c r="K2671" s="15" t="s">
        <v>22</v>
      </c>
    </row>
    <row r="2672" spans="1:11" ht="42" customHeight="1">
      <c r="A2672" s="4" t="s">
        <v>6617</v>
      </c>
      <c r="B2672" s="5" t="s">
        <v>6617</v>
      </c>
      <c r="C2672" s="5" t="s">
        <v>17</v>
      </c>
      <c r="D2672" s="5" t="s">
        <v>18</v>
      </c>
      <c r="E2672" s="5" t="s">
        <v>367</v>
      </c>
      <c r="F2672" s="9">
        <v>64</v>
      </c>
      <c r="G2672" s="9">
        <v>716</v>
      </c>
      <c r="H2672" s="5" t="s">
        <v>20</v>
      </c>
      <c r="I2672" s="5" t="s">
        <v>6618</v>
      </c>
      <c r="J2672" s="12" t="str">
        <f>HYPERLINK("https://www.boe.es/gazeta/dias/1804/08/10/pdfs/GMD-1804-64.pdf#page=10","Abrir facsímil")</f>
        <v>Abrir facsímil</v>
      </c>
      <c r="K2672" s="15" t="s">
        <v>22</v>
      </c>
    </row>
    <row r="2673" spans="1:11" ht="42" customHeight="1">
      <c r="A2673" s="4" t="s">
        <v>6619</v>
      </c>
      <c r="B2673" s="5" t="s">
        <v>6619</v>
      </c>
      <c r="C2673" s="5" t="s">
        <v>27</v>
      </c>
      <c r="D2673" s="5" t="s">
        <v>28</v>
      </c>
      <c r="E2673" s="5" t="s">
        <v>132</v>
      </c>
      <c r="F2673" s="9">
        <v>52</v>
      </c>
      <c r="G2673" s="9">
        <v>575</v>
      </c>
      <c r="H2673" s="5" t="s">
        <v>20</v>
      </c>
      <c r="I2673" s="5" t="s">
        <v>6620</v>
      </c>
      <c r="J2673" s="12" t="str">
        <f>HYPERLINK("https://www.boe.es/gazeta/dias/1804/06/29/pdfs/GMD-1804-52.pdf#page=9","Abrir facsímil")</f>
        <v>Abrir facsímil</v>
      </c>
      <c r="K2673" s="15" t="s">
        <v>22</v>
      </c>
    </row>
    <row r="2674" spans="1:11" ht="42" customHeight="1">
      <c r="A2674" s="4" t="s">
        <v>6619</v>
      </c>
      <c r="B2674" s="5" t="s">
        <v>6619</v>
      </c>
      <c r="C2674" s="5" t="s">
        <v>27</v>
      </c>
      <c r="D2674" s="5" t="s">
        <v>28</v>
      </c>
      <c r="E2674" s="5" t="s">
        <v>216</v>
      </c>
      <c r="F2674" s="9">
        <v>67</v>
      </c>
      <c r="G2674" s="9">
        <v>752</v>
      </c>
      <c r="H2674" s="5" t="s">
        <v>20</v>
      </c>
      <c r="I2674" s="5" t="s">
        <v>6621</v>
      </c>
      <c r="J2674" s="12" t="str">
        <f>HYPERLINK("https://www.boe.es/gazeta/dias/1804/08/21/pdfs/GMD-1804-67.pdf#page=10","Abrir facsímil")</f>
        <v>Abrir facsímil</v>
      </c>
      <c r="K2674" s="15" t="s">
        <v>22</v>
      </c>
    </row>
    <row r="2675" spans="1:11" ht="42" customHeight="1">
      <c r="A2675" s="4" t="s">
        <v>6622</v>
      </c>
      <c r="B2675" s="5" t="s">
        <v>6622</v>
      </c>
      <c r="C2675" s="5" t="s">
        <v>27</v>
      </c>
      <c r="D2675" s="5" t="s">
        <v>28</v>
      </c>
      <c r="E2675" s="5" t="s">
        <v>132</v>
      </c>
      <c r="F2675" s="9">
        <v>52</v>
      </c>
      <c r="G2675" s="9">
        <v>575</v>
      </c>
      <c r="H2675" s="5" t="s">
        <v>20</v>
      </c>
      <c r="I2675" s="5" t="s">
        <v>6623</v>
      </c>
      <c r="J2675" s="12" t="str">
        <f>HYPERLINK("https://www.boe.es/gazeta/dias/1804/06/29/pdfs/GMD-1804-52.pdf#page=9","Abrir facsímil")</f>
        <v>Abrir facsímil</v>
      </c>
      <c r="K2675" s="15" t="s">
        <v>22</v>
      </c>
    </row>
    <row r="2676" spans="1:11" ht="42" customHeight="1">
      <c r="A2676" s="4" t="s">
        <v>6624</v>
      </c>
      <c r="B2676" s="5" t="s">
        <v>6624</v>
      </c>
      <c r="C2676" s="5" t="s">
        <v>17</v>
      </c>
      <c r="D2676" s="5" t="s">
        <v>18</v>
      </c>
      <c r="E2676" s="5" t="s">
        <v>71</v>
      </c>
      <c r="F2676" s="9">
        <v>99</v>
      </c>
      <c r="G2676" s="9">
        <v>1106</v>
      </c>
      <c r="H2676" s="5" t="s">
        <v>20</v>
      </c>
      <c r="I2676" s="5" t="s">
        <v>6625</v>
      </c>
      <c r="J2676" s="12" t="str">
        <f>HYPERLINK("https://www.boe.es/gazeta/dias/1804/12/11/pdfs/GMD-1804-99.pdf#page=6","Abrir facsímil")</f>
        <v>Abrir facsímil</v>
      </c>
      <c r="K2676" s="15" t="s">
        <v>22</v>
      </c>
    </row>
    <row r="2677" spans="1:11" ht="42" customHeight="1">
      <c r="A2677" s="4" t="s">
        <v>6626</v>
      </c>
      <c r="B2677" s="5" t="s">
        <v>6627</v>
      </c>
      <c r="C2677" s="5" t="s">
        <v>57</v>
      </c>
      <c r="D2677" s="5" t="s">
        <v>58</v>
      </c>
      <c r="E2677" s="5" t="s">
        <v>1337</v>
      </c>
      <c r="F2677" s="9">
        <v>7</v>
      </c>
      <c r="G2677" s="9">
        <v>64</v>
      </c>
      <c r="H2677" s="5" t="s">
        <v>20</v>
      </c>
      <c r="I2677" s="5" t="s">
        <v>6628</v>
      </c>
      <c r="J2677" s="12" t="str">
        <f>HYPERLINK("https://www.boe.es/gazeta/dias/1804/01/24/pdfs/GMD-1804-7.pdf#page=4","Abrir facsímil")</f>
        <v>Abrir facsímil</v>
      </c>
      <c r="K2677" s="15" t="s">
        <v>22</v>
      </c>
    </row>
    <row r="2678" spans="1:11" ht="42" customHeight="1">
      <c r="A2678" s="4" t="s">
        <v>6629</v>
      </c>
      <c r="B2678" s="5" t="s">
        <v>6629</v>
      </c>
      <c r="C2678" s="5" t="s">
        <v>57</v>
      </c>
      <c r="D2678" s="5" t="s">
        <v>58</v>
      </c>
      <c r="E2678" s="5" t="s">
        <v>191</v>
      </c>
      <c r="F2678" s="9">
        <v>101</v>
      </c>
      <c r="G2678" s="9">
        <v>1124</v>
      </c>
      <c r="H2678" s="5" t="s">
        <v>20</v>
      </c>
      <c r="I2678" s="5" t="s">
        <v>6630</v>
      </c>
      <c r="J2678" s="12" t="str">
        <f>HYPERLINK("https://www.boe.es/gazeta/dias/1804/12/18/pdfs/GMD-1804-101.pdf#page=4","Abrir facsímil")</f>
        <v>Abrir facsímil</v>
      </c>
      <c r="K2678" s="15" t="s">
        <v>22</v>
      </c>
    </row>
    <row r="2679" spans="1:11" ht="42" customHeight="1">
      <c r="A2679" s="4" t="s">
        <v>6631</v>
      </c>
      <c r="B2679" s="5" t="s">
        <v>6631</v>
      </c>
      <c r="C2679" s="5" t="s">
        <v>57</v>
      </c>
      <c r="D2679" s="5" t="s">
        <v>58</v>
      </c>
      <c r="E2679" s="5" t="s">
        <v>54</v>
      </c>
      <c r="F2679" s="9">
        <v>63</v>
      </c>
      <c r="G2679" s="9">
        <v>696</v>
      </c>
      <c r="H2679" s="5" t="s">
        <v>20</v>
      </c>
      <c r="I2679" s="5" t="s">
        <v>6632</v>
      </c>
      <c r="J2679" s="12" t="str">
        <f>HYPERLINK("https://www.boe.es/gazeta/dias/1804/08/07/pdfs/GMD-1804-63.pdf#page=6","Abrir facsímil")</f>
        <v>Abrir facsímil</v>
      </c>
      <c r="K2679" s="15" t="s">
        <v>22</v>
      </c>
    </row>
    <row r="2680" spans="1:11" ht="42" customHeight="1">
      <c r="A2680" s="4" t="s">
        <v>6633</v>
      </c>
      <c r="B2680" s="5" t="s">
        <v>6633</v>
      </c>
      <c r="C2680" s="5" t="s">
        <v>198</v>
      </c>
      <c r="D2680" s="5" t="s">
        <v>66</v>
      </c>
      <c r="E2680" s="5" t="s">
        <v>1278</v>
      </c>
      <c r="F2680" s="9">
        <v>37</v>
      </c>
      <c r="G2680" s="9">
        <v>408</v>
      </c>
      <c r="H2680" s="5" t="s">
        <v>20</v>
      </c>
      <c r="I2680" s="5" t="s">
        <v>6634</v>
      </c>
      <c r="J2680" s="12" t="str">
        <f>HYPERLINK("https://www.boe.es/gazeta/dias/1804/05/08/pdfs/GMD-1804-37.pdf#page=6","Abrir facsímil")</f>
        <v>Abrir facsímil</v>
      </c>
      <c r="K2680" s="15" t="s">
        <v>22</v>
      </c>
    </row>
    <row r="2681" spans="1:11" ht="42" customHeight="1">
      <c r="A2681" s="4" t="s">
        <v>6633</v>
      </c>
      <c r="B2681" s="5" t="s">
        <v>6633</v>
      </c>
      <c r="C2681" s="5" t="s">
        <v>57</v>
      </c>
      <c r="D2681" s="5" t="s">
        <v>58</v>
      </c>
      <c r="E2681" s="5" t="s">
        <v>54</v>
      </c>
      <c r="F2681" s="9">
        <v>63</v>
      </c>
      <c r="G2681" s="9">
        <v>695</v>
      </c>
      <c r="H2681" s="5" t="s">
        <v>20</v>
      </c>
      <c r="I2681" s="5" t="s">
        <v>6635</v>
      </c>
      <c r="J2681" s="12" t="str">
        <f>HYPERLINK("https://www.boe.es/gazeta/dias/1804/08/07/pdfs/GMD-1804-63.pdf#page=5","Abrir facsímil")</f>
        <v>Abrir facsímil</v>
      </c>
      <c r="K2681" s="15" t="s">
        <v>22</v>
      </c>
    </row>
    <row r="2682" spans="1:11" ht="42" customHeight="1">
      <c r="A2682" s="4" t="s">
        <v>6636</v>
      </c>
      <c r="B2682" s="5" t="s">
        <v>6636</v>
      </c>
      <c r="C2682" s="5" t="s">
        <v>85</v>
      </c>
      <c r="D2682" s="5" t="s">
        <v>86</v>
      </c>
      <c r="E2682" s="5" t="s">
        <v>140</v>
      </c>
      <c r="F2682" s="9">
        <v>39</v>
      </c>
      <c r="G2682" s="9">
        <v>438</v>
      </c>
      <c r="H2682" s="5" t="s">
        <v>20</v>
      </c>
      <c r="I2682" s="5" t="s">
        <v>6637</v>
      </c>
      <c r="J2682" s="12" t="str">
        <f>HYPERLINK("https://www.boe.es/gazeta/dias/1804/05/15/pdfs/GMD-1804-39.pdf#page=12","Abrir facsímil")</f>
        <v>Abrir facsímil</v>
      </c>
      <c r="K2682" s="15" t="s">
        <v>22</v>
      </c>
    </row>
    <row r="2683" spans="1:11" ht="42" customHeight="1">
      <c r="A2683" s="4" t="s">
        <v>6636</v>
      </c>
      <c r="B2683" s="5" t="s">
        <v>6636</v>
      </c>
      <c r="C2683" s="5" t="s">
        <v>85</v>
      </c>
      <c r="D2683" s="5" t="s">
        <v>86</v>
      </c>
      <c r="E2683" s="5" t="s">
        <v>794</v>
      </c>
      <c r="F2683" s="9">
        <v>42</v>
      </c>
      <c r="G2683" s="9">
        <v>472</v>
      </c>
      <c r="H2683" s="5" t="s">
        <v>20</v>
      </c>
      <c r="I2683" s="5" t="s">
        <v>6638</v>
      </c>
      <c r="J2683" s="12" t="str">
        <f>HYPERLINK("https://www.boe.es/gazeta/dias/1804/05/25/pdfs/GMD-1804-42.pdf#page=10","Abrir facsímil")</f>
        <v>Abrir facsímil</v>
      </c>
      <c r="K2683" s="15" t="s">
        <v>22</v>
      </c>
    </row>
    <row r="2684" spans="1:11" ht="42" customHeight="1">
      <c r="A2684" s="4" t="s">
        <v>6636</v>
      </c>
      <c r="B2684" s="5" t="s">
        <v>6636</v>
      </c>
      <c r="C2684" s="5" t="s">
        <v>262</v>
      </c>
      <c r="D2684" s="5" t="s">
        <v>263</v>
      </c>
      <c r="E2684" s="5" t="s">
        <v>264</v>
      </c>
      <c r="F2684" s="9">
        <v>49</v>
      </c>
      <c r="G2684" s="9" t="s">
        <v>2383</v>
      </c>
      <c r="H2684" s="5" t="s">
        <v>20</v>
      </c>
      <c r="I2684" s="5" t="s">
        <v>6639</v>
      </c>
      <c r="J2684" s="12" t="str">
        <f>HYPERLINK("https://www.boe.es/gazeta/dias/1804/06/19/pdfs/GMD-C-1804-49.pdf#page=6","Abrir facsímil")</f>
        <v>Abrir facsímil</v>
      </c>
      <c r="K2684" s="15" t="s">
        <v>22</v>
      </c>
    </row>
    <row r="2685" spans="1:11" ht="42" customHeight="1">
      <c r="A2685" s="4" t="s">
        <v>6636</v>
      </c>
      <c r="B2685" s="5" t="s">
        <v>6636</v>
      </c>
      <c r="C2685" s="5" t="s">
        <v>262</v>
      </c>
      <c r="D2685" s="5" t="s">
        <v>263</v>
      </c>
      <c r="E2685" s="5" t="s">
        <v>264</v>
      </c>
      <c r="F2685" s="9">
        <v>49</v>
      </c>
      <c r="G2685" s="9" t="s">
        <v>265</v>
      </c>
      <c r="H2685" s="5" t="s">
        <v>20</v>
      </c>
      <c r="I2685" s="5" t="s">
        <v>6640</v>
      </c>
      <c r="J2685" s="12" t="str">
        <f>HYPERLINK("https://www.boe.es/gazeta/dias/1804/06/19/pdfs/GMD-C-1804-49.pdf#page=9","Abrir facsímil")</f>
        <v>Abrir facsímil</v>
      </c>
      <c r="K2685" s="15" t="s">
        <v>22</v>
      </c>
    </row>
    <row r="2686" spans="1:11" ht="42" customHeight="1">
      <c r="A2686" s="4" t="s">
        <v>6636</v>
      </c>
      <c r="B2686" s="5" t="s">
        <v>6636</v>
      </c>
      <c r="C2686" s="5" t="s">
        <v>17</v>
      </c>
      <c r="D2686" s="5" t="s">
        <v>18</v>
      </c>
      <c r="E2686" s="5" t="s">
        <v>367</v>
      </c>
      <c r="F2686" s="9">
        <v>64</v>
      </c>
      <c r="G2686" s="9">
        <v>716</v>
      </c>
      <c r="H2686" s="5" t="s">
        <v>20</v>
      </c>
      <c r="I2686" s="5" t="s">
        <v>6641</v>
      </c>
      <c r="J2686" s="12" t="str">
        <f>HYPERLINK("https://www.boe.es/gazeta/dias/1804/08/10/pdfs/GMD-1804-64.pdf#page=10","Abrir facsímil")</f>
        <v>Abrir facsímil</v>
      </c>
      <c r="K2686" s="15" t="s">
        <v>22</v>
      </c>
    </row>
    <row r="2687" spans="1:11" ht="42" customHeight="1">
      <c r="A2687" s="4" t="s">
        <v>6642</v>
      </c>
      <c r="B2687" s="5" t="s">
        <v>6643</v>
      </c>
      <c r="C2687" s="5" t="s">
        <v>27</v>
      </c>
      <c r="D2687" s="5" t="s">
        <v>28</v>
      </c>
      <c r="E2687" s="5" t="s">
        <v>637</v>
      </c>
      <c r="F2687" s="9">
        <v>74</v>
      </c>
      <c r="G2687" s="9">
        <v>831</v>
      </c>
      <c r="H2687" s="5" t="s">
        <v>20</v>
      </c>
      <c r="I2687" s="5" t="s">
        <v>6644</v>
      </c>
      <c r="J2687" s="12" t="str">
        <f>HYPERLINK("https://www.boe.es/gazeta/dias/1804/09/14/pdfs/GMD-1804-74.pdf#page=9","Abrir facsímil")</f>
        <v>Abrir facsímil</v>
      </c>
      <c r="K2687" s="15" t="s">
        <v>22</v>
      </c>
    </row>
    <row r="2688" spans="1:11" ht="42" customHeight="1">
      <c r="A2688" s="4" t="s">
        <v>6645</v>
      </c>
      <c r="B2688" s="5" t="s">
        <v>6645</v>
      </c>
      <c r="C2688" s="5" t="s">
        <v>85</v>
      </c>
      <c r="D2688" s="5" t="s">
        <v>86</v>
      </c>
      <c r="E2688" s="5" t="s">
        <v>1449</v>
      </c>
      <c r="F2688" s="9">
        <v>8</v>
      </c>
      <c r="G2688" s="9">
        <v>88</v>
      </c>
      <c r="H2688" s="5" t="s">
        <v>20</v>
      </c>
      <c r="I2688" s="5" t="s">
        <v>6646</v>
      </c>
      <c r="J2688" s="12" t="str">
        <f>HYPERLINK("https://www.boe.es/gazeta/dias/1804/01/27/pdfs/GMD-1804-8.pdf#page=12","Abrir facsímil")</f>
        <v>Abrir facsímil</v>
      </c>
      <c r="K2688" s="15" t="s">
        <v>22</v>
      </c>
    </row>
    <row r="2689" spans="1:11" ht="42" customHeight="1">
      <c r="A2689" s="4" t="s">
        <v>6647</v>
      </c>
      <c r="B2689" s="5" t="s">
        <v>6647</v>
      </c>
      <c r="C2689" s="5" t="s">
        <v>17</v>
      </c>
      <c r="D2689" s="5" t="s">
        <v>18</v>
      </c>
      <c r="E2689" s="5" t="s">
        <v>1179</v>
      </c>
      <c r="F2689" s="9">
        <v>43</v>
      </c>
      <c r="G2689" s="9">
        <v>480</v>
      </c>
      <c r="H2689" s="5" t="s">
        <v>20</v>
      </c>
      <c r="I2689" s="5" t="s">
        <v>6648</v>
      </c>
      <c r="J2689" s="12" t="str">
        <f>HYPERLINK("https://www.boe.es/gazeta/dias/1804/05/29/pdfs/GMD-1804-43.pdf#page=6","Abrir facsímil")</f>
        <v>Abrir facsímil</v>
      </c>
      <c r="K2689" s="15" t="s">
        <v>22</v>
      </c>
    </row>
    <row r="2690" spans="1:11" ht="42" customHeight="1">
      <c r="A2690" s="4" t="s">
        <v>6647</v>
      </c>
      <c r="B2690" s="5" t="s">
        <v>6647</v>
      </c>
      <c r="C2690" s="5" t="s">
        <v>17</v>
      </c>
      <c r="D2690" s="5" t="s">
        <v>18</v>
      </c>
      <c r="E2690" s="5" t="s">
        <v>54</v>
      </c>
      <c r="F2690" s="9">
        <v>63</v>
      </c>
      <c r="G2690" s="9">
        <v>700</v>
      </c>
      <c r="H2690" s="5" t="s">
        <v>20</v>
      </c>
      <c r="I2690" s="5" t="s">
        <v>6649</v>
      </c>
      <c r="J2690" s="12" t="str">
        <f>HYPERLINK("https://www.boe.es/gazeta/dias/1804/08/07/pdfs/GMD-1804-63.pdf#page=10","Abrir facsímil")</f>
        <v>Abrir facsímil</v>
      </c>
      <c r="K2690" s="15" t="s">
        <v>22</v>
      </c>
    </row>
    <row r="2691" spans="1:11" ht="42" customHeight="1">
      <c r="A2691" s="4" t="s">
        <v>6647</v>
      </c>
      <c r="B2691" s="5" t="s">
        <v>6647</v>
      </c>
      <c r="C2691" s="5" t="s">
        <v>198</v>
      </c>
      <c r="D2691" s="5" t="s">
        <v>66</v>
      </c>
      <c r="E2691" s="5" t="s">
        <v>1095</v>
      </c>
      <c r="F2691" s="9">
        <v>73</v>
      </c>
      <c r="G2691" s="9">
        <v>821</v>
      </c>
      <c r="H2691" s="5" t="s">
        <v>20</v>
      </c>
      <c r="I2691" s="5" t="s">
        <v>6650</v>
      </c>
      <c r="J2691" s="12" t="str">
        <f>HYPERLINK("https://www.boe.es/gazeta/dias/1804/09/11/pdfs/GMD-1804-73.pdf#page=11","Abrir facsímil")</f>
        <v>Abrir facsímil</v>
      </c>
      <c r="K2691" s="15" t="s">
        <v>22</v>
      </c>
    </row>
    <row r="2692" spans="1:11" ht="42" customHeight="1">
      <c r="A2692" s="4" t="s">
        <v>6647</v>
      </c>
      <c r="B2692" s="5" t="s">
        <v>6647</v>
      </c>
      <c r="C2692" s="5" t="s">
        <v>27</v>
      </c>
      <c r="D2692" s="5" t="s">
        <v>28</v>
      </c>
      <c r="E2692" s="5" t="s">
        <v>23</v>
      </c>
      <c r="F2692" s="9">
        <v>91</v>
      </c>
      <c r="G2692" s="9">
        <v>1009</v>
      </c>
      <c r="H2692" s="5" t="s">
        <v>20</v>
      </c>
      <c r="I2692" s="5" t="s">
        <v>6651</v>
      </c>
      <c r="J2692" s="12" t="str">
        <f>HYPERLINK("https://www.boe.es/gazeta/dias/1804/11/13/pdfs/GMD-1804-91.pdf#page=9","Abrir facsímil")</f>
        <v>Abrir facsímil</v>
      </c>
      <c r="K2692" s="15" t="s">
        <v>22</v>
      </c>
    </row>
    <row r="2693" spans="1:11" ht="42" customHeight="1">
      <c r="A2693" s="4" t="s">
        <v>6652</v>
      </c>
      <c r="B2693" s="5" t="s">
        <v>6652</v>
      </c>
      <c r="C2693" s="5" t="s">
        <v>120</v>
      </c>
      <c r="D2693" s="5" t="s">
        <v>121</v>
      </c>
      <c r="E2693" s="5" t="s">
        <v>33</v>
      </c>
      <c r="F2693" s="9">
        <v>48</v>
      </c>
      <c r="G2693" s="9" t="s">
        <v>122</v>
      </c>
      <c r="H2693" s="5" t="s">
        <v>20</v>
      </c>
      <c r="I2693" s="5" t="s">
        <v>6653</v>
      </c>
      <c r="J2693" s="12" t="str">
        <f>HYPERLINK("https://www.boe.es/gazeta/dias/1804/06/15/pdfs/GMD-C-1804-48.pdf#page=3","Abrir facsímil")</f>
        <v>Abrir facsímil</v>
      </c>
      <c r="K2693" s="15" t="s">
        <v>22</v>
      </c>
    </row>
    <row r="2694" spans="1:11" ht="42" customHeight="1">
      <c r="A2694" s="4" t="s">
        <v>6654</v>
      </c>
      <c r="B2694" s="5" t="s">
        <v>6654</v>
      </c>
      <c r="C2694" s="5" t="s">
        <v>27</v>
      </c>
      <c r="D2694" s="5" t="s">
        <v>28</v>
      </c>
      <c r="E2694" s="5" t="s">
        <v>308</v>
      </c>
      <c r="F2694" s="9">
        <v>96</v>
      </c>
      <c r="G2694" s="9">
        <v>1068</v>
      </c>
      <c r="H2694" s="5" t="s">
        <v>20</v>
      </c>
      <c r="I2694" s="5" t="s">
        <v>6655</v>
      </c>
      <c r="J2694" s="12" t="str">
        <f>HYPERLINK("https://www.boe.es/gazeta/dias/1804/11/30/pdfs/GMD-1804-96.pdf#page=8","Abrir facsímil")</f>
        <v>Abrir facsímil</v>
      </c>
      <c r="K2694" s="15" t="s">
        <v>22</v>
      </c>
    </row>
    <row r="2695" spans="1:11" ht="42" customHeight="1">
      <c r="A2695" s="4" t="s">
        <v>6656</v>
      </c>
      <c r="B2695" s="5" t="s">
        <v>6656</v>
      </c>
      <c r="C2695" s="5" t="s">
        <v>27</v>
      </c>
      <c r="D2695" s="5" t="s">
        <v>28</v>
      </c>
      <c r="E2695" s="5" t="s">
        <v>199</v>
      </c>
      <c r="F2695" s="9">
        <v>46</v>
      </c>
      <c r="G2695" s="9">
        <v>512</v>
      </c>
      <c r="H2695" s="5" t="s">
        <v>20</v>
      </c>
      <c r="I2695" s="5" t="s">
        <v>6657</v>
      </c>
      <c r="J2695" s="12" t="str">
        <f>HYPERLINK("https://www.boe.es/gazeta/dias/1804/06/08/pdfs/GMD-1804-46.pdf#page=10","Abrir facsímil")</f>
        <v>Abrir facsímil</v>
      </c>
      <c r="K2695" s="15" t="s">
        <v>22</v>
      </c>
    </row>
    <row r="2696" spans="1:11" ht="42" customHeight="1">
      <c r="A2696" s="4" t="s">
        <v>6658</v>
      </c>
      <c r="B2696" s="5" t="s">
        <v>6658</v>
      </c>
      <c r="C2696" s="5" t="s">
        <v>17</v>
      </c>
      <c r="D2696" s="5" t="s">
        <v>18</v>
      </c>
      <c r="E2696" s="5" t="s">
        <v>637</v>
      </c>
      <c r="F2696" s="9">
        <v>74</v>
      </c>
      <c r="G2696" s="9">
        <v>829</v>
      </c>
      <c r="H2696" s="5" t="s">
        <v>20</v>
      </c>
      <c r="I2696" s="5" t="s">
        <v>6659</v>
      </c>
      <c r="J2696" s="12" t="str">
        <f>HYPERLINK("https://www.boe.es/gazeta/dias/1804/09/14/pdfs/GMD-1804-74.pdf#page=7","Abrir facsímil")</f>
        <v>Abrir facsímil</v>
      </c>
      <c r="K2696" s="15" t="s">
        <v>22</v>
      </c>
    </row>
    <row r="2697" spans="1:11" ht="42" customHeight="1">
      <c r="A2697" s="4" t="s">
        <v>6660</v>
      </c>
      <c r="B2697" s="5" t="s">
        <v>6660</v>
      </c>
      <c r="C2697" s="5" t="s">
        <v>198</v>
      </c>
      <c r="D2697" s="5" t="s">
        <v>66</v>
      </c>
      <c r="E2697" s="5" t="s">
        <v>182</v>
      </c>
      <c r="F2697" s="9">
        <v>21</v>
      </c>
      <c r="G2697" s="9">
        <v>235</v>
      </c>
      <c r="H2697" s="5" t="s">
        <v>20</v>
      </c>
      <c r="I2697" s="5" t="s">
        <v>6661</v>
      </c>
      <c r="J2697" s="12" t="str">
        <f>HYPERLINK("https://www.boe.es/gazeta/dias/1804/03/13/pdfs/GMD-1804-21.pdf#page=11","Abrir facsímil")</f>
        <v>Abrir facsímil</v>
      </c>
      <c r="K2697" s="15" t="s">
        <v>22</v>
      </c>
    </row>
    <row r="2698" spans="1:11" ht="42" customHeight="1">
      <c r="A2698" s="4" t="s">
        <v>6662</v>
      </c>
      <c r="B2698" s="5" t="s">
        <v>6662</v>
      </c>
      <c r="C2698" s="5" t="s">
        <v>27</v>
      </c>
      <c r="D2698" s="5" t="s">
        <v>28</v>
      </c>
      <c r="E2698" s="5" t="s">
        <v>75</v>
      </c>
      <c r="F2698" s="9">
        <v>16</v>
      </c>
      <c r="G2698" s="9">
        <v>173</v>
      </c>
      <c r="H2698" s="5" t="s">
        <v>20</v>
      </c>
      <c r="I2698" s="5" t="s">
        <v>6663</v>
      </c>
      <c r="J2698" s="12" t="str">
        <f>HYPERLINK("https://www.boe.es/gazeta/dias/1804/02/24/pdfs/GMD-1804-16.pdf#page=9","Abrir facsímil")</f>
        <v>Abrir facsímil</v>
      </c>
      <c r="K2698" s="15" t="s">
        <v>22</v>
      </c>
    </row>
    <row r="2699" spans="1:11" ht="42" customHeight="1">
      <c r="A2699" s="4" t="s">
        <v>6664</v>
      </c>
      <c r="B2699" s="5" t="s">
        <v>6664</v>
      </c>
      <c r="C2699" s="5" t="s">
        <v>198</v>
      </c>
      <c r="D2699" s="5" t="s">
        <v>66</v>
      </c>
      <c r="E2699" s="5" t="s">
        <v>794</v>
      </c>
      <c r="F2699" s="9">
        <v>42</v>
      </c>
      <c r="G2699" s="9">
        <v>472</v>
      </c>
      <c r="H2699" s="5" t="s">
        <v>20</v>
      </c>
      <c r="I2699" s="5" t="s">
        <v>6665</v>
      </c>
      <c r="J2699" s="12" t="str">
        <f>HYPERLINK("https://www.boe.es/gazeta/dias/1804/05/25/pdfs/GMD-1804-42.pdf#page=10","Abrir facsímil")</f>
        <v>Abrir facsímil</v>
      </c>
      <c r="K2699" s="15" t="s">
        <v>22</v>
      </c>
    </row>
    <row r="2700" spans="1:11" ht="42" customHeight="1">
      <c r="A2700" s="4" t="s">
        <v>6666</v>
      </c>
      <c r="B2700" s="5" t="s">
        <v>6666</v>
      </c>
      <c r="C2700" s="5" t="s">
        <v>27</v>
      </c>
      <c r="D2700" s="5" t="s">
        <v>28</v>
      </c>
      <c r="E2700" s="5" t="s">
        <v>206</v>
      </c>
      <c r="F2700" s="9">
        <v>44</v>
      </c>
      <c r="G2700" s="9">
        <v>489</v>
      </c>
      <c r="H2700" s="5" t="s">
        <v>20</v>
      </c>
      <c r="I2700" s="5" t="s">
        <v>6667</v>
      </c>
      <c r="J2700" s="12" t="str">
        <f>HYPERLINK("https://www.boe.es/gazeta/dias/1804/06/01/pdfs/GMD-1804-44.pdf#page=7","Abrir facsímil")</f>
        <v>Abrir facsímil</v>
      </c>
      <c r="K2700" s="15" t="s">
        <v>22</v>
      </c>
    </row>
    <row r="2701" spans="1:11" ht="42" customHeight="1">
      <c r="A2701" s="4" t="s">
        <v>6668</v>
      </c>
      <c r="B2701" s="5" t="s">
        <v>6668</v>
      </c>
      <c r="C2701" s="5" t="s">
        <v>65</v>
      </c>
      <c r="D2701" s="5" t="s">
        <v>66</v>
      </c>
      <c r="E2701" s="5" t="s">
        <v>91</v>
      </c>
      <c r="F2701" s="9">
        <v>72</v>
      </c>
      <c r="G2701" s="9">
        <v>805</v>
      </c>
      <c r="H2701" s="5" t="s">
        <v>20</v>
      </c>
      <c r="I2701" s="5" t="s">
        <v>6669</v>
      </c>
      <c r="J2701" s="12" t="str">
        <f>HYPERLINK("https://www.boe.es/gazeta/dias/1804/09/07/pdfs/GMD-1804-72.pdf#page=7","Abrir facsímil")</f>
        <v>Abrir facsímil</v>
      </c>
      <c r="K2701" s="15" t="s">
        <v>22</v>
      </c>
    </row>
    <row r="2702" spans="1:11" ht="42" customHeight="1">
      <c r="A2702" s="4" t="s">
        <v>6670</v>
      </c>
      <c r="B2702" s="5" t="s">
        <v>6670</v>
      </c>
      <c r="C2702" s="5" t="s">
        <v>17</v>
      </c>
      <c r="D2702" s="5" t="s">
        <v>18</v>
      </c>
      <c r="E2702" s="5" t="s">
        <v>143</v>
      </c>
      <c r="F2702" s="9">
        <v>87</v>
      </c>
      <c r="G2702" s="9">
        <v>965</v>
      </c>
      <c r="H2702" s="5" t="s">
        <v>20</v>
      </c>
      <c r="I2702" s="5" t="s">
        <v>6671</v>
      </c>
      <c r="J2702" s="12" t="str">
        <f>HYPERLINK("https://www.boe.es/gazeta/dias/1804/10/30/pdfs/GMD-1804-87.pdf#page=9","Abrir facsímil")</f>
        <v>Abrir facsímil</v>
      </c>
      <c r="K2702" s="15" t="s">
        <v>22</v>
      </c>
    </row>
    <row r="2703" spans="1:11" ht="42" customHeight="1">
      <c r="A2703" s="4" t="s">
        <v>6672</v>
      </c>
      <c r="B2703" s="5" t="s">
        <v>6672</v>
      </c>
      <c r="C2703" s="5" t="s">
        <v>27</v>
      </c>
      <c r="D2703" s="5" t="s">
        <v>28</v>
      </c>
      <c r="E2703" s="5" t="s">
        <v>479</v>
      </c>
      <c r="F2703" s="9">
        <v>5</v>
      </c>
      <c r="G2703" s="9">
        <v>47</v>
      </c>
      <c r="H2703" s="5" t="s">
        <v>20</v>
      </c>
      <c r="I2703" s="5" t="s">
        <v>6673</v>
      </c>
      <c r="J2703" s="12" t="str">
        <f>HYPERLINK("https://www.boe.es/gazeta/dias/1804/01/17/pdfs/GMD-1804-5.pdf#page=7","Abrir facsímil")</f>
        <v>Abrir facsímil</v>
      </c>
      <c r="K2703" s="15" t="s">
        <v>22</v>
      </c>
    </row>
    <row r="2704" spans="1:11" ht="42" customHeight="1">
      <c r="A2704" s="4" t="s">
        <v>6674</v>
      </c>
      <c r="B2704" s="5" t="s">
        <v>6674</v>
      </c>
      <c r="C2704" s="5" t="s">
        <v>27</v>
      </c>
      <c r="D2704" s="5" t="s">
        <v>28</v>
      </c>
      <c r="E2704" s="5" t="s">
        <v>136</v>
      </c>
      <c r="F2704" s="9">
        <v>23</v>
      </c>
      <c r="G2704" s="9">
        <v>261</v>
      </c>
      <c r="H2704" s="5" t="s">
        <v>20</v>
      </c>
      <c r="I2704" s="5" t="s">
        <v>6675</v>
      </c>
      <c r="J2704" s="12" t="str">
        <f>HYPERLINK("https://www.boe.es/gazeta/dias/1804/03/20/pdfs/GMD-1804-23.pdf#page=7","Abrir facsímil")</f>
        <v>Abrir facsímil</v>
      </c>
      <c r="K2704" s="15" t="s">
        <v>22</v>
      </c>
    </row>
    <row r="2705" spans="1:11" ht="42" customHeight="1">
      <c r="A2705" s="4" t="s">
        <v>6676</v>
      </c>
      <c r="B2705" s="5" t="s">
        <v>6676</v>
      </c>
      <c r="C2705" s="5" t="s">
        <v>27</v>
      </c>
      <c r="D2705" s="5" t="s">
        <v>28</v>
      </c>
      <c r="E2705" s="5" t="s">
        <v>143</v>
      </c>
      <c r="F2705" s="9">
        <v>87</v>
      </c>
      <c r="G2705" s="9">
        <v>963</v>
      </c>
      <c r="H2705" s="5" t="s">
        <v>20</v>
      </c>
      <c r="I2705" s="5" t="s">
        <v>6677</v>
      </c>
      <c r="J2705" s="12" t="str">
        <f>HYPERLINK("https://www.boe.es/gazeta/dias/1804/10/30/pdfs/GMD-1804-87.pdf#page=7","Abrir facsímil")</f>
        <v>Abrir facsímil</v>
      </c>
      <c r="K2705" s="15" t="s">
        <v>22</v>
      </c>
    </row>
    <row r="2706" spans="1:11" ht="42" customHeight="1">
      <c r="A2706" s="4" t="s">
        <v>6678</v>
      </c>
      <c r="B2706" s="5" t="s">
        <v>6678</v>
      </c>
      <c r="C2706" s="5" t="s">
        <v>27</v>
      </c>
      <c r="D2706" s="5" t="s">
        <v>28</v>
      </c>
      <c r="E2706" s="5" t="s">
        <v>258</v>
      </c>
      <c r="F2706" s="9">
        <v>14</v>
      </c>
      <c r="G2706" s="9">
        <v>153</v>
      </c>
      <c r="H2706" s="5" t="s">
        <v>20</v>
      </c>
      <c r="I2706" s="5" t="s">
        <v>6679</v>
      </c>
      <c r="J2706" s="12" t="str">
        <f>HYPERLINK("https://www.boe.es/gazeta/dias/1804/02/17/pdfs/GMD-1804-14.pdf#page=9","Abrir facsímil")</f>
        <v>Abrir facsímil</v>
      </c>
      <c r="K2706" s="15" t="s">
        <v>22</v>
      </c>
    </row>
    <row r="2707" spans="1:11" ht="42" customHeight="1">
      <c r="A2707" s="4" t="s">
        <v>6680</v>
      </c>
      <c r="B2707" s="5" t="s">
        <v>6680</v>
      </c>
      <c r="C2707" s="5" t="s">
        <v>27</v>
      </c>
      <c r="D2707" s="5" t="s">
        <v>28</v>
      </c>
      <c r="E2707" s="5" t="s">
        <v>212</v>
      </c>
      <c r="F2707" s="9">
        <v>89</v>
      </c>
      <c r="G2707" s="9">
        <v>990</v>
      </c>
      <c r="H2707" s="5" t="s">
        <v>20</v>
      </c>
      <c r="I2707" s="5" t="s">
        <v>6681</v>
      </c>
      <c r="J2707" s="12" t="str">
        <f>HYPERLINK("https://www.boe.es/gazeta/dias/1804/11/06/pdfs/GMD-1804-89.pdf#page=10","Abrir facsímil")</f>
        <v>Abrir facsímil</v>
      </c>
      <c r="K2707" s="15" t="s">
        <v>22</v>
      </c>
    </row>
    <row r="2708" spans="1:11" ht="42" customHeight="1">
      <c r="A2708" s="4" t="s">
        <v>6682</v>
      </c>
      <c r="B2708" s="5" t="s">
        <v>6682</v>
      </c>
      <c r="C2708" s="5" t="s">
        <v>27</v>
      </c>
      <c r="D2708" s="5" t="s">
        <v>28</v>
      </c>
      <c r="E2708" s="5" t="s">
        <v>258</v>
      </c>
      <c r="F2708" s="9">
        <v>14</v>
      </c>
      <c r="G2708" s="9">
        <v>153</v>
      </c>
      <c r="H2708" s="5" t="s">
        <v>20</v>
      </c>
      <c r="I2708" s="5" t="s">
        <v>6683</v>
      </c>
      <c r="J2708" s="12" t="str">
        <f>HYPERLINK("https://www.boe.es/gazeta/dias/1804/02/17/pdfs/GMD-1804-14.pdf#page=9","Abrir facsímil")</f>
        <v>Abrir facsímil</v>
      </c>
      <c r="K2708" s="15" t="s">
        <v>22</v>
      </c>
    </row>
    <row r="2709" spans="1:11" ht="42" customHeight="1">
      <c r="A2709" s="4" t="s">
        <v>6684</v>
      </c>
      <c r="B2709" s="5" t="s">
        <v>6684</v>
      </c>
      <c r="C2709" s="5" t="s">
        <v>27</v>
      </c>
      <c r="D2709" s="5" t="s">
        <v>28</v>
      </c>
      <c r="E2709" s="5" t="s">
        <v>75</v>
      </c>
      <c r="F2709" s="9">
        <v>16</v>
      </c>
      <c r="G2709" s="9">
        <v>173</v>
      </c>
      <c r="H2709" s="5" t="s">
        <v>20</v>
      </c>
      <c r="I2709" s="5" t="s">
        <v>6685</v>
      </c>
      <c r="J2709" s="12" t="str">
        <f>HYPERLINK("https://www.boe.es/gazeta/dias/1804/02/24/pdfs/GMD-1804-16.pdf#page=9","Abrir facsímil")</f>
        <v>Abrir facsímil</v>
      </c>
      <c r="K2709" s="15" t="s">
        <v>22</v>
      </c>
    </row>
    <row r="2710" spans="1:11" ht="42" customHeight="1">
      <c r="A2710" s="4" t="s">
        <v>6686</v>
      </c>
      <c r="B2710" s="5" t="s">
        <v>6686</v>
      </c>
      <c r="C2710" s="5" t="s">
        <v>198</v>
      </c>
      <c r="D2710" s="5" t="s">
        <v>66</v>
      </c>
      <c r="E2710" s="5" t="s">
        <v>360</v>
      </c>
      <c r="F2710" s="9">
        <v>81</v>
      </c>
      <c r="G2710" s="9">
        <v>897</v>
      </c>
      <c r="H2710" s="5" t="s">
        <v>20</v>
      </c>
      <c r="I2710" s="5" t="s">
        <v>6687</v>
      </c>
      <c r="J2710" s="12" t="str">
        <f>HYPERLINK("https://www.boe.es/gazeta/dias/1804/10/09/pdfs/GMD-1804-81.pdf#page=7","Abrir facsímil")</f>
        <v>Abrir facsímil</v>
      </c>
      <c r="K2710" s="15" t="s">
        <v>22</v>
      </c>
    </row>
    <row r="2711" spans="1:11" ht="42" customHeight="1">
      <c r="A2711" s="4" t="s">
        <v>6688</v>
      </c>
      <c r="B2711" s="5" t="s">
        <v>6688</v>
      </c>
      <c r="C2711" s="5" t="s">
        <v>85</v>
      </c>
      <c r="D2711" s="5" t="s">
        <v>86</v>
      </c>
      <c r="E2711" s="5" t="s">
        <v>367</v>
      </c>
      <c r="F2711" s="9">
        <v>64</v>
      </c>
      <c r="G2711" s="9">
        <v>714</v>
      </c>
      <c r="H2711" s="5" t="s">
        <v>20</v>
      </c>
      <c r="I2711" s="5" t="s">
        <v>6689</v>
      </c>
      <c r="J2711" s="12" t="str">
        <f>HYPERLINK("https://www.boe.es/gazeta/dias/1804/08/10/pdfs/GMD-1804-64.pdf#page=8","Abrir facsímil")</f>
        <v>Abrir facsímil</v>
      </c>
      <c r="K2711" s="15" t="s">
        <v>22</v>
      </c>
    </row>
    <row r="2712" spans="1:11" ht="42" customHeight="1">
      <c r="A2712" s="4" t="s">
        <v>6690</v>
      </c>
      <c r="B2712" s="5" t="s">
        <v>6690</v>
      </c>
      <c r="C2712" s="5" t="s">
        <v>27</v>
      </c>
      <c r="D2712" s="5" t="s">
        <v>28</v>
      </c>
      <c r="E2712" s="5" t="s">
        <v>212</v>
      </c>
      <c r="F2712" s="9">
        <v>89</v>
      </c>
      <c r="G2712" s="9">
        <v>990</v>
      </c>
      <c r="H2712" s="5" t="s">
        <v>20</v>
      </c>
      <c r="I2712" s="5" t="s">
        <v>6691</v>
      </c>
      <c r="J2712" s="12" t="str">
        <f>HYPERLINK("https://www.boe.es/gazeta/dias/1804/11/06/pdfs/GMD-1804-89.pdf#page=10","Abrir facsímil")</f>
        <v>Abrir facsímil</v>
      </c>
      <c r="K2712" s="15" t="s">
        <v>22</v>
      </c>
    </row>
    <row r="2713" spans="1:11" ht="42" customHeight="1">
      <c r="A2713" s="4" t="s">
        <v>6692</v>
      </c>
      <c r="B2713" s="5" t="s">
        <v>6692</v>
      </c>
      <c r="C2713" s="5" t="s">
        <v>17</v>
      </c>
      <c r="D2713" s="5" t="s">
        <v>18</v>
      </c>
      <c r="E2713" s="5" t="s">
        <v>75</v>
      </c>
      <c r="F2713" s="9">
        <v>16</v>
      </c>
      <c r="G2713" s="9">
        <v>173</v>
      </c>
      <c r="H2713" s="5" t="s">
        <v>20</v>
      </c>
      <c r="I2713" s="5" t="s">
        <v>6693</v>
      </c>
      <c r="J2713" s="12" t="str">
        <f>HYPERLINK("https://www.boe.es/gazeta/dias/1804/02/24/pdfs/GMD-1804-16.pdf#page=9","Abrir facsímil")</f>
        <v>Abrir facsímil</v>
      </c>
      <c r="K2713" s="15" t="s">
        <v>22</v>
      </c>
    </row>
    <row r="2714" spans="1:11" ht="42" customHeight="1">
      <c r="A2714" s="4" t="s">
        <v>6692</v>
      </c>
      <c r="B2714" s="5" t="s">
        <v>6692</v>
      </c>
      <c r="C2714" s="5" t="s">
        <v>17</v>
      </c>
      <c r="D2714" s="5" t="s">
        <v>18</v>
      </c>
      <c r="E2714" s="5" t="s">
        <v>23</v>
      </c>
      <c r="F2714" s="9">
        <v>91</v>
      </c>
      <c r="G2714" s="9">
        <v>1008</v>
      </c>
      <c r="H2714" s="5" t="s">
        <v>20</v>
      </c>
      <c r="I2714" s="5" t="s">
        <v>6694</v>
      </c>
      <c r="J2714" s="12" t="str">
        <f>HYPERLINK("https://www.boe.es/gazeta/dias/1804/11/13/pdfs/GMD-1804-91.pdf#page=8","Abrir facsímil")</f>
        <v>Abrir facsímil</v>
      </c>
      <c r="K2714" s="15" t="s">
        <v>22</v>
      </c>
    </row>
    <row r="2715" spans="1:11" ht="42" customHeight="1">
      <c r="A2715" s="4" t="s">
        <v>6695</v>
      </c>
      <c r="B2715" s="5" t="s">
        <v>6695</v>
      </c>
      <c r="C2715" s="5" t="s">
        <v>198</v>
      </c>
      <c r="D2715" s="5" t="s">
        <v>66</v>
      </c>
      <c r="E2715" s="5" t="s">
        <v>19</v>
      </c>
      <c r="F2715" s="9">
        <v>60</v>
      </c>
      <c r="G2715" s="9">
        <v>668</v>
      </c>
      <c r="H2715" s="5" t="s">
        <v>20</v>
      </c>
      <c r="I2715" s="5" t="s">
        <v>6696</v>
      </c>
      <c r="J2715" s="12" t="str">
        <f>HYPERLINK("https://www.boe.es/gazeta/dias/1804/07/27/pdfs/GMD-1804-60.pdf#page=10","Abrir facsímil")</f>
        <v>Abrir facsímil</v>
      </c>
      <c r="K2715" s="15" t="s">
        <v>22</v>
      </c>
    </row>
    <row r="2716" spans="1:11" ht="42" customHeight="1">
      <c r="A2716" s="4" t="s">
        <v>6697</v>
      </c>
      <c r="B2716" s="5" t="s">
        <v>6697</v>
      </c>
      <c r="C2716" s="5" t="s">
        <v>27</v>
      </c>
      <c r="D2716" s="5" t="s">
        <v>28</v>
      </c>
      <c r="E2716" s="5" t="s">
        <v>67</v>
      </c>
      <c r="F2716" s="9">
        <v>59</v>
      </c>
      <c r="G2716" s="9">
        <v>653</v>
      </c>
      <c r="H2716" s="5" t="s">
        <v>20</v>
      </c>
      <c r="I2716" s="5" t="s">
        <v>6698</v>
      </c>
      <c r="J2716" s="12" t="str">
        <f>HYPERLINK("https://www.boe.es/gazeta/dias/1804/07/24/pdfs/GMD-1804-59.pdf#page=7","Abrir facsímil")</f>
        <v>Abrir facsímil</v>
      </c>
      <c r="K2716" s="15" t="s">
        <v>22</v>
      </c>
    </row>
    <row r="2717" spans="1:11" ht="42" customHeight="1">
      <c r="A2717" s="4" t="s">
        <v>6699</v>
      </c>
      <c r="B2717" s="5" t="s">
        <v>6699</v>
      </c>
      <c r="C2717" s="5" t="s">
        <v>27</v>
      </c>
      <c r="D2717" s="5" t="s">
        <v>28</v>
      </c>
      <c r="E2717" s="5" t="s">
        <v>378</v>
      </c>
      <c r="F2717" s="9">
        <v>65</v>
      </c>
      <c r="G2717" s="9">
        <v>731</v>
      </c>
      <c r="H2717" s="5" t="s">
        <v>20</v>
      </c>
      <c r="I2717" s="5" t="s">
        <v>6700</v>
      </c>
      <c r="J2717" s="12" t="str">
        <f>HYPERLINK("https://www.boe.es/gazeta/dias/1804/08/14/pdfs/GMD-1804-65.pdf#page=9","Abrir facsímil")</f>
        <v>Abrir facsímil</v>
      </c>
      <c r="K2717" s="15" t="s">
        <v>22</v>
      </c>
    </row>
    <row r="2718" spans="1:11" ht="42" customHeight="1">
      <c r="A2718" s="4" t="s">
        <v>6701</v>
      </c>
      <c r="B2718" s="5" t="s">
        <v>6701</v>
      </c>
      <c r="C2718" s="5" t="s">
        <v>27</v>
      </c>
      <c r="D2718" s="5" t="s">
        <v>28</v>
      </c>
      <c r="E2718" s="5" t="s">
        <v>50</v>
      </c>
      <c r="F2718" s="9">
        <v>93</v>
      </c>
      <c r="G2718" s="9">
        <v>1031</v>
      </c>
      <c r="H2718" s="5" t="s">
        <v>20</v>
      </c>
      <c r="I2718" s="5" t="s">
        <v>6702</v>
      </c>
      <c r="J2718" s="12" t="str">
        <f>HYPERLINK("https://www.boe.es/gazeta/dias/1804/11/20/pdfs/GMD-1804-93.pdf#page=7","Abrir facsímil")</f>
        <v>Abrir facsímil</v>
      </c>
      <c r="K2718" s="15" t="s">
        <v>22</v>
      </c>
    </row>
    <row r="2719" spans="1:11" ht="42" customHeight="1">
      <c r="A2719" s="4" t="s">
        <v>6703</v>
      </c>
      <c r="B2719" s="5" t="s">
        <v>6703</v>
      </c>
      <c r="C2719" s="5" t="s">
        <v>17</v>
      </c>
      <c r="D2719" s="5" t="s">
        <v>18</v>
      </c>
      <c r="E2719" s="5" t="s">
        <v>453</v>
      </c>
      <c r="F2719" s="9">
        <v>33</v>
      </c>
      <c r="G2719" s="9">
        <v>366</v>
      </c>
      <c r="H2719" s="5" t="s">
        <v>20</v>
      </c>
      <c r="I2719" s="5" t="s">
        <v>6704</v>
      </c>
      <c r="J2719" s="12" t="str">
        <f>HYPERLINK("https://www.boe.es/gazeta/dias/1804/04/24/pdfs/GMD-1804-33.pdf#page=8","Abrir facsímil")</f>
        <v>Abrir facsímil</v>
      </c>
      <c r="K2719" s="15" t="s">
        <v>22</v>
      </c>
    </row>
    <row r="2720" spans="1:11" ht="42" customHeight="1">
      <c r="A2720" s="4" t="s">
        <v>6705</v>
      </c>
      <c r="B2720" s="5" t="s">
        <v>6705</v>
      </c>
      <c r="C2720" s="5" t="s">
        <v>17</v>
      </c>
      <c r="D2720" s="5" t="s">
        <v>18</v>
      </c>
      <c r="E2720" s="5" t="s">
        <v>1337</v>
      </c>
      <c r="F2720" s="9">
        <v>7</v>
      </c>
      <c r="G2720" s="9">
        <v>69</v>
      </c>
      <c r="H2720" s="5" t="s">
        <v>20</v>
      </c>
      <c r="I2720" s="5" t="s">
        <v>6706</v>
      </c>
      <c r="J2720" s="12" t="str">
        <f>HYPERLINK("https://www.boe.es/gazeta/dias/1804/01/24/pdfs/GMD-1804-7.pdf#page=9","Abrir facsímil")</f>
        <v>Abrir facsímil</v>
      </c>
      <c r="K2720" s="15" t="s">
        <v>22</v>
      </c>
    </row>
    <row r="2721" spans="1:11" ht="42" customHeight="1">
      <c r="A2721" s="4" t="s">
        <v>6707</v>
      </c>
      <c r="B2721" s="5" t="s">
        <v>6707</v>
      </c>
      <c r="C2721" s="5" t="s">
        <v>27</v>
      </c>
      <c r="D2721" s="5" t="s">
        <v>28</v>
      </c>
      <c r="E2721" s="5" t="s">
        <v>234</v>
      </c>
      <c r="F2721" s="9">
        <v>86</v>
      </c>
      <c r="G2721" s="9">
        <v>948</v>
      </c>
      <c r="H2721" s="5" t="s">
        <v>20</v>
      </c>
      <c r="I2721" s="5" t="s">
        <v>6708</v>
      </c>
      <c r="J2721" s="12" t="str">
        <f>HYPERLINK("https://www.boe.es/gazeta/dias/1804/10/26/pdfs/GMD-1804-86.pdf#page=6","Abrir facsímil")</f>
        <v>Abrir facsímil</v>
      </c>
      <c r="K2721" s="15" t="s">
        <v>22</v>
      </c>
    </row>
    <row r="2722" spans="1:11" ht="42" customHeight="1">
      <c r="A2722" s="4" t="s">
        <v>6709</v>
      </c>
      <c r="B2722" s="5" t="s">
        <v>6709</v>
      </c>
      <c r="C2722" s="5" t="s">
        <v>198</v>
      </c>
      <c r="D2722" s="5" t="s">
        <v>66</v>
      </c>
      <c r="E2722" s="5" t="s">
        <v>29</v>
      </c>
      <c r="F2722" s="9">
        <v>88</v>
      </c>
      <c r="G2722" s="9">
        <v>977</v>
      </c>
      <c r="H2722" s="5" t="s">
        <v>20</v>
      </c>
      <c r="I2722" s="5" t="s">
        <v>6710</v>
      </c>
      <c r="J2722" s="12" t="str">
        <f>HYPERLINK("https://www.boe.es/gazeta/dias/1804/11/02/pdfs/GMD-1804-88.pdf#page=9","Abrir facsímil")</f>
        <v>Abrir facsímil</v>
      </c>
      <c r="K2722" s="15" t="s">
        <v>22</v>
      </c>
    </row>
    <row r="2723" spans="1:11" ht="42" customHeight="1">
      <c r="A2723" s="4" t="s">
        <v>6711</v>
      </c>
      <c r="B2723" s="5" t="s">
        <v>6711</v>
      </c>
      <c r="C2723" s="5" t="s">
        <v>17</v>
      </c>
      <c r="D2723" s="5" t="s">
        <v>18</v>
      </c>
      <c r="E2723" s="5" t="s">
        <v>388</v>
      </c>
      <c r="F2723" s="9">
        <v>18</v>
      </c>
      <c r="G2723" s="9">
        <v>198</v>
      </c>
      <c r="H2723" s="5" t="s">
        <v>20</v>
      </c>
      <c r="I2723" s="5" t="s">
        <v>6712</v>
      </c>
      <c r="J2723" s="12" t="str">
        <f>HYPERLINK("https://www.boe.es/gazeta/dias/1804/03/02/pdfs/GMD-1804-18.pdf#page=10","Abrir facsímil")</f>
        <v>Abrir facsímil</v>
      </c>
      <c r="K2723" s="15" t="s">
        <v>22</v>
      </c>
    </row>
    <row r="2724" spans="1:11" ht="42" customHeight="1">
      <c r="A2724" s="4" t="s">
        <v>6713</v>
      </c>
      <c r="B2724" s="5" t="s">
        <v>6713</v>
      </c>
      <c r="C2724" s="5" t="s">
        <v>27</v>
      </c>
      <c r="D2724" s="5" t="s">
        <v>28</v>
      </c>
      <c r="E2724" s="5" t="s">
        <v>23</v>
      </c>
      <c r="F2724" s="9">
        <v>91</v>
      </c>
      <c r="G2724" s="9">
        <v>1009</v>
      </c>
      <c r="H2724" s="5" t="s">
        <v>20</v>
      </c>
      <c r="I2724" s="5" t="s">
        <v>6714</v>
      </c>
      <c r="J2724" s="12" t="str">
        <f>HYPERLINK("https://www.boe.es/gazeta/dias/1804/11/13/pdfs/GMD-1804-91.pdf#page=9","Abrir facsímil")</f>
        <v>Abrir facsímil</v>
      </c>
      <c r="K2724" s="15" t="s">
        <v>22</v>
      </c>
    </row>
    <row r="2725" spans="1:11" ht="42" customHeight="1">
      <c r="A2725" s="4" t="s">
        <v>6715</v>
      </c>
      <c r="B2725" s="5" t="s">
        <v>6715</v>
      </c>
      <c r="C2725" s="5" t="s">
        <v>27</v>
      </c>
      <c r="D2725" s="5" t="s">
        <v>28</v>
      </c>
      <c r="E2725" s="5" t="s">
        <v>298</v>
      </c>
      <c r="F2725" s="9">
        <v>10</v>
      </c>
      <c r="G2725" s="9">
        <v>109</v>
      </c>
      <c r="H2725" s="5" t="s">
        <v>20</v>
      </c>
      <c r="I2725" s="5" t="s">
        <v>6716</v>
      </c>
      <c r="J2725" s="12" t="str">
        <f>HYPERLINK("https://www.boe.es/gazeta/dias/1804/02/03/pdfs/GMD-1804-10.pdf#page=9","Abrir facsímil")</f>
        <v>Abrir facsímil</v>
      </c>
      <c r="K2725" s="15" t="s">
        <v>22</v>
      </c>
    </row>
    <row r="2726" spans="1:11" ht="42" customHeight="1">
      <c r="A2726" s="4" t="s">
        <v>6717</v>
      </c>
      <c r="B2726" s="5" t="s">
        <v>6717</v>
      </c>
      <c r="C2726" s="5" t="s">
        <v>17</v>
      </c>
      <c r="D2726" s="5" t="s">
        <v>18</v>
      </c>
      <c r="E2726" s="5" t="s">
        <v>258</v>
      </c>
      <c r="F2726" s="9">
        <v>14</v>
      </c>
      <c r="G2726" s="9">
        <v>153</v>
      </c>
      <c r="H2726" s="5" t="s">
        <v>20</v>
      </c>
      <c r="I2726" s="5" t="s">
        <v>6718</v>
      </c>
      <c r="J2726" s="12" t="str">
        <f>HYPERLINK("https://www.boe.es/gazeta/dias/1804/02/17/pdfs/GMD-1804-14.pdf#page=9","Abrir facsímil")</f>
        <v>Abrir facsímil</v>
      </c>
      <c r="K2726" s="15" t="s">
        <v>22</v>
      </c>
    </row>
    <row r="2727" spans="1:11" ht="42" customHeight="1">
      <c r="A2727" s="4" t="s">
        <v>6719</v>
      </c>
      <c r="B2727" s="5" t="s">
        <v>6719</v>
      </c>
      <c r="C2727" s="5" t="s">
        <v>65</v>
      </c>
      <c r="D2727" s="5" t="s">
        <v>66</v>
      </c>
      <c r="E2727" s="5" t="s">
        <v>298</v>
      </c>
      <c r="F2727" s="9">
        <v>10</v>
      </c>
      <c r="G2727" s="9">
        <v>109</v>
      </c>
      <c r="H2727" s="5" t="s">
        <v>20</v>
      </c>
      <c r="I2727" s="5" t="s">
        <v>6720</v>
      </c>
      <c r="J2727" s="12" t="str">
        <f>HYPERLINK("https://www.boe.es/gazeta/dias/1804/02/03/pdfs/GMD-1804-10.pdf#page=9","Abrir facsímil")</f>
        <v>Abrir facsímil</v>
      </c>
      <c r="K2727" s="15" t="s">
        <v>22</v>
      </c>
    </row>
    <row r="2728" spans="1:11" ht="42" customHeight="1">
      <c r="A2728" s="4" t="s">
        <v>6721</v>
      </c>
      <c r="B2728" s="5" t="s">
        <v>6721</v>
      </c>
      <c r="C2728" s="5" t="s">
        <v>65</v>
      </c>
      <c r="D2728" s="5" t="s">
        <v>66</v>
      </c>
      <c r="E2728" s="5" t="s">
        <v>191</v>
      </c>
      <c r="F2728" s="9">
        <v>101</v>
      </c>
      <c r="G2728" s="9">
        <v>1128</v>
      </c>
      <c r="H2728" s="5" t="s">
        <v>20</v>
      </c>
      <c r="I2728" s="5" t="s">
        <v>6722</v>
      </c>
      <c r="J2728" s="12" t="str">
        <f>HYPERLINK("https://www.boe.es/gazeta/dias/1804/12/18/pdfs/GMD-1804-101.pdf#page=8","Abrir facsímil")</f>
        <v>Abrir facsímil</v>
      </c>
      <c r="K2728" s="15" t="s">
        <v>22</v>
      </c>
    </row>
    <row r="2729" spans="1:11" ht="42" customHeight="1">
      <c r="A2729" s="4" t="s">
        <v>6723</v>
      </c>
      <c r="B2729" s="5" t="s">
        <v>6723</v>
      </c>
      <c r="C2729" s="5" t="s">
        <v>17</v>
      </c>
      <c r="D2729" s="5" t="s">
        <v>18</v>
      </c>
      <c r="E2729" s="5" t="s">
        <v>258</v>
      </c>
      <c r="F2729" s="9">
        <v>14</v>
      </c>
      <c r="G2729" s="9">
        <v>155</v>
      </c>
      <c r="H2729" s="5" t="s">
        <v>20</v>
      </c>
      <c r="I2729" s="5" t="s">
        <v>6724</v>
      </c>
      <c r="J2729" s="12" t="str">
        <f>HYPERLINK("https://www.boe.es/gazeta/dias/1804/02/17/pdfs/GMD-1804-14.pdf#page=11","Abrir facsímil")</f>
        <v>Abrir facsímil</v>
      </c>
      <c r="K2729" s="15" t="s">
        <v>22</v>
      </c>
    </row>
    <row r="2730" spans="1:11" ht="42" customHeight="1">
      <c r="A2730" s="4" t="s">
        <v>6725</v>
      </c>
      <c r="B2730" s="5" t="s">
        <v>6725</v>
      </c>
      <c r="C2730" s="5" t="s">
        <v>17</v>
      </c>
      <c r="D2730" s="5" t="s">
        <v>18</v>
      </c>
      <c r="E2730" s="5" t="s">
        <v>71</v>
      </c>
      <c r="F2730" s="9">
        <v>99</v>
      </c>
      <c r="G2730" s="9">
        <v>1107</v>
      </c>
      <c r="H2730" s="5" t="s">
        <v>20</v>
      </c>
      <c r="I2730" s="5" t="s">
        <v>6726</v>
      </c>
      <c r="J2730" s="12" t="str">
        <f>HYPERLINK("https://www.boe.es/gazeta/dias/1804/12/11/pdfs/GMD-1804-99.pdf#page=7","Abrir facsímil")</f>
        <v>Abrir facsímil</v>
      </c>
      <c r="K2730" s="15" t="s">
        <v>22</v>
      </c>
    </row>
    <row r="2731" spans="1:11" ht="42" customHeight="1">
      <c r="A2731" s="4" t="s">
        <v>6727</v>
      </c>
      <c r="B2731" s="5" t="s">
        <v>6727</v>
      </c>
      <c r="C2731" s="5" t="s">
        <v>27</v>
      </c>
      <c r="D2731" s="5" t="s">
        <v>28</v>
      </c>
      <c r="E2731" s="5" t="s">
        <v>43</v>
      </c>
      <c r="F2731" s="9">
        <v>84</v>
      </c>
      <c r="G2731" s="9">
        <v>928</v>
      </c>
      <c r="H2731" s="5" t="s">
        <v>20</v>
      </c>
      <c r="I2731" s="5" t="s">
        <v>6728</v>
      </c>
      <c r="J2731" s="12" t="str">
        <f>HYPERLINK("https://www.boe.es/gazeta/dias/1804/10/19/pdfs/GMD-1804-84.pdf#page=6","Abrir facsímil")</f>
        <v>Abrir facsímil</v>
      </c>
      <c r="K2731" s="15" t="s">
        <v>22</v>
      </c>
    </row>
    <row r="2732" spans="1:11" ht="42" customHeight="1">
      <c r="A2732" s="4" t="s">
        <v>6729</v>
      </c>
      <c r="B2732" s="5" t="s">
        <v>6729</v>
      </c>
      <c r="C2732" s="5" t="s">
        <v>65</v>
      </c>
      <c r="D2732" s="5" t="s">
        <v>66</v>
      </c>
      <c r="E2732" s="5" t="s">
        <v>178</v>
      </c>
      <c r="F2732" s="9">
        <v>20</v>
      </c>
      <c r="G2732" s="9">
        <v>220</v>
      </c>
      <c r="H2732" s="5" t="s">
        <v>20</v>
      </c>
      <c r="I2732" s="5" t="s">
        <v>6730</v>
      </c>
      <c r="J2732" s="12" t="str">
        <f>HYPERLINK("https://www.boe.es/gazeta/dias/1804/03/09/pdfs/GMD-1804-20.pdf#page=8","Abrir facsímil")</f>
        <v>Abrir facsímil</v>
      </c>
      <c r="K2732" s="15" t="s">
        <v>22</v>
      </c>
    </row>
    <row r="2733" spans="1:11" ht="42" customHeight="1">
      <c r="A2733" s="4" t="s">
        <v>6731</v>
      </c>
      <c r="B2733" s="5" t="s">
        <v>6731</v>
      </c>
      <c r="C2733" s="5" t="s">
        <v>65</v>
      </c>
      <c r="D2733" s="5" t="s">
        <v>66</v>
      </c>
      <c r="E2733" s="5" t="s">
        <v>317</v>
      </c>
      <c r="F2733" s="9">
        <v>56</v>
      </c>
      <c r="G2733" s="9">
        <v>620</v>
      </c>
      <c r="H2733" s="5" t="s">
        <v>20</v>
      </c>
      <c r="I2733" s="5" t="s">
        <v>6732</v>
      </c>
      <c r="J2733" s="12" t="str">
        <f>HYPERLINK("https://www.boe.es/gazeta/dias/1804/07/13/pdfs/GMD-1804-56.pdf#page=6","Abrir facsímil")</f>
        <v>Abrir facsímil</v>
      </c>
      <c r="K2733" s="15" t="s">
        <v>22</v>
      </c>
    </row>
    <row r="2734" spans="1:11" ht="42" customHeight="1">
      <c r="A2734" s="4" t="s">
        <v>6733</v>
      </c>
      <c r="B2734" s="5" t="s">
        <v>6733</v>
      </c>
      <c r="C2734" s="5" t="s">
        <v>27</v>
      </c>
      <c r="D2734" s="5" t="s">
        <v>28</v>
      </c>
      <c r="E2734" s="5" t="s">
        <v>163</v>
      </c>
      <c r="F2734" s="9">
        <v>70</v>
      </c>
      <c r="G2734" s="9">
        <v>784</v>
      </c>
      <c r="H2734" s="5" t="s">
        <v>20</v>
      </c>
      <c r="I2734" s="5" t="s">
        <v>6734</v>
      </c>
      <c r="J2734" s="12" t="str">
        <f>HYPERLINK("https://www.boe.es/gazeta/dias/1804/08/31/pdfs/GMD-1804-70.pdf#page=6","Abrir facsímil")</f>
        <v>Abrir facsímil</v>
      </c>
      <c r="K2734" s="15" t="s">
        <v>22</v>
      </c>
    </row>
    <row r="2735" spans="1:11" ht="42" customHeight="1">
      <c r="A2735" s="4" t="s">
        <v>6735</v>
      </c>
      <c r="B2735" s="5" t="s">
        <v>6735</v>
      </c>
      <c r="C2735" s="5" t="s">
        <v>27</v>
      </c>
      <c r="D2735" s="5" t="s">
        <v>28</v>
      </c>
      <c r="E2735" s="5" t="s">
        <v>308</v>
      </c>
      <c r="F2735" s="9">
        <v>96</v>
      </c>
      <c r="G2735" s="9">
        <v>1068</v>
      </c>
      <c r="H2735" s="5" t="s">
        <v>20</v>
      </c>
      <c r="I2735" s="5" t="s">
        <v>6736</v>
      </c>
      <c r="J2735" s="12" t="str">
        <f>HYPERLINK("https://www.boe.es/gazeta/dias/1804/11/30/pdfs/GMD-1804-96.pdf#page=8","Abrir facsímil")</f>
        <v>Abrir facsímil</v>
      </c>
      <c r="K2735" s="15" t="s">
        <v>22</v>
      </c>
    </row>
    <row r="2736" spans="1:11" ht="42" customHeight="1">
      <c r="A2736" s="4" t="s">
        <v>6737</v>
      </c>
      <c r="B2736" s="5" t="s">
        <v>6737</v>
      </c>
      <c r="C2736" s="5" t="s">
        <v>27</v>
      </c>
      <c r="D2736" s="5" t="s">
        <v>28</v>
      </c>
      <c r="E2736" s="5" t="s">
        <v>800</v>
      </c>
      <c r="F2736" s="9">
        <v>45</v>
      </c>
      <c r="G2736" s="9">
        <v>500</v>
      </c>
      <c r="H2736" s="5" t="s">
        <v>20</v>
      </c>
      <c r="I2736" s="5" t="s">
        <v>6738</v>
      </c>
      <c r="J2736" s="12" t="str">
        <f>HYPERLINK("https://www.boe.es/gazeta/dias/1804/06/05/pdfs/GMD-1804-45.pdf#page=10","Abrir facsímil")</f>
        <v>Abrir facsímil</v>
      </c>
      <c r="K2736" s="15" t="s">
        <v>22</v>
      </c>
    </row>
    <row r="2737" spans="1:11" ht="42" customHeight="1">
      <c r="A2737" s="4" t="s">
        <v>6739</v>
      </c>
      <c r="B2737" s="5" t="s">
        <v>6739</v>
      </c>
      <c r="C2737" s="5" t="s">
        <v>17</v>
      </c>
      <c r="D2737" s="5" t="s">
        <v>18</v>
      </c>
      <c r="E2737" s="5" t="s">
        <v>37</v>
      </c>
      <c r="F2737" s="9">
        <v>29</v>
      </c>
      <c r="G2737" s="9">
        <v>318</v>
      </c>
      <c r="H2737" s="5" t="s">
        <v>20</v>
      </c>
      <c r="I2737" s="5" t="s">
        <v>6740</v>
      </c>
      <c r="J2737" s="12" t="str">
        <f>HYPERLINK("https://www.boe.es/gazeta/dias/1804/04/10/pdfs/GMD-1804-29.pdf#page=8","Abrir facsímil")</f>
        <v>Abrir facsímil</v>
      </c>
      <c r="K2737" s="15" t="s">
        <v>22</v>
      </c>
    </row>
    <row r="2738" spans="1:11" ht="42" customHeight="1">
      <c r="A2738" s="4" t="s">
        <v>6741</v>
      </c>
      <c r="B2738" s="5" t="s">
        <v>6741</v>
      </c>
      <c r="C2738" s="5" t="s">
        <v>65</v>
      </c>
      <c r="D2738" s="5" t="s">
        <v>66</v>
      </c>
      <c r="E2738" s="5" t="s">
        <v>151</v>
      </c>
      <c r="F2738" s="9">
        <v>13</v>
      </c>
      <c r="G2738" s="9">
        <v>142</v>
      </c>
      <c r="H2738" s="5" t="s">
        <v>20</v>
      </c>
      <c r="I2738" s="5" t="s">
        <v>6742</v>
      </c>
      <c r="J2738" s="12" t="str">
        <f>HYPERLINK("https://www.boe.es/gazeta/dias/1804/02/14/pdfs/GMD-1804-13.pdf#page=6","Abrir facsímil")</f>
        <v>Abrir facsímil</v>
      </c>
      <c r="K2738" s="15" t="s">
        <v>22</v>
      </c>
    </row>
    <row r="2739" spans="1:11" ht="42" customHeight="1">
      <c r="A2739" s="4" t="s">
        <v>6743</v>
      </c>
      <c r="B2739" s="5" t="s">
        <v>6743</v>
      </c>
      <c r="C2739" s="5" t="s">
        <v>85</v>
      </c>
      <c r="D2739" s="5" t="s">
        <v>86</v>
      </c>
      <c r="E2739" s="5" t="s">
        <v>576</v>
      </c>
      <c r="F2739" s="9">
        <v>85</v>
      </c>
      <c r="G2739" s="9">
        <v>942</v>
      </c>
      <c r="H2739" s="5" t="s">
        <v>20</v>
      </c>
      <c r="I2739" s="5" t="s">
        <v>6744</v>
      </c>
      <c r="J2739" s="12" t="str">
        <f>HYPERLINK("https://www.boe.es/gazeta/dias/1804/10/23/pdfs/GMD-1804-85.pdf#page=12","Abrir facsímil")</f>
        <v>Abrir facsímil</v>
      </c>
      <c r="K2739" s="15" t="s">
        <v>22</v>
      </c>
    </row>
    <row r="2740" spans="1:11" ht="42" customHeight="1">
      <c r="A2740" s="4" t="s">
        <v>6745</v>
      </c>
      <c r="B2740" s="5" t="s">
        <v>6745</v>
      </c>
      <c r="C2740" s="5" t="s">
        <v>27</v>
      </c>
      <c r="D2740" s="5" t="s">
        <v>28</v>
      </c>
      <c r="E2740" s="5" t="s">
        <v>666</v>
      </c>
      <c r="F2740" s="9">
        <v>57</v>
      </c>
      <c r="G2740" s="9">
        <v>632</v>
      </c>
      <c r="H2740" s="5" t="s">
        <v>20</v>
      </c>
      <c r="I2740" s="5" t="s">
        <v>6746</v>
      </c>
      <c r="J2740" s="12" t="str">
        <f>HYPERLINK("https://www.boe.es/gazeta/dias/1804/07/17/pdfs/GMD-1804-57.pdf#page=10","Abrir facsímil")</f>
        <v>Abrir facsímil</v>
      </c>
      <c r="K2740" s="15" t="s">
        <v>22</v>
      </c>
    </row>
    <row r="2741" spans="1:11" ht="42" customHeight="1">
      <c r="A2741" s="4" t="s">
        <v>6747</v>
      </c>
      <c r="B2741" s="5" t="s">
        <v>6747</v>
      </c>
      <c r="C2741" s="5" t="s">
        <v>17</v>
      </c>
      <c r="D2741" s="5" t="s">
        <v>18</v>
      </c>
      <c r="E2741" s="5" t="s">
        <v>71</v>
      </c>
      <c r="F2741" s="9">
        <v>99</v>
      </c>
      <c r="G2741" s="9">
        <v>1107</v>
      </c>
      <c r="H2741" s="5" t="s">
        <v>20</v>
      </c>
      <c r="I2741" s="5" t="s">
        <v>6748</v>
      </c>
      <c r="J2741" s="12" t="str">
        <f>HYPERLINK("https://www.boe.es/gazeta/dias/1804/12/11/pdfs/GMD-1804-99.pdf#page=7","Abrir facsímil")</f>
        <v>Abrir facsímil</v>
      </c>
      <c r="K2741" s="15" t="s">
        <v>22</v>
      </c>
    </row>
    <row r="2742" spans="1:11" ht="42" customHeight="1">
      <c r="A2742" s="4" t="s">
        <v>6749</v>
      </c>
      <c r="B2742" s="5" t="s">
        <v>6749</v>
      </c>
      <c r="C2742" s="5" t="s">
        <v>57</v>
      </c>
      <c r="D2742" s="5" t="s">
        <v>58</v>
      </c>
      <c r="E2742" s="5" t="s">
        <v>511</v>
      </c>
      <c r="F2742" s="9">
        <v>12</v>
      </c>
      <c r="G2742" s="9">
        <v>132</v>
      </c>
      <c r="H2742" s="5" t="s">
        <v>20</v>
      </c>
      <c r="I2742" s="5" t="s">
        <v>6750</v>
      </c>
      <c r="J2742" s="12" t="str">
        <f>HYPERLINK("https://www.boe.es/gazeta/dias/1804/02/10/pdfs/GMD-1804-12.pdf#page=8","Abrir facsímil")</f>
        <v>Abrir facsímil</v>
      </c>
      <c r="K2742" s="15" t="s">
        <v>22</v>
      </c>
    </row>
    <row r="2743" spans="1:11" ht="42" customHeight="1">
      <c r="A2743" s="4" t="s">
        <v>6751</v>
      </c>
      <c r="B2743" s="5" t="s">
        <v>6751</v>
      </c>
      <c r="C2743" s="5" t="s">
        <v>27</v>
      </c>
      <c r="D2743" s="5" t="s">
        <v>28</v>
      </c>
      <c r="E2743" s="5" t="s">
        <v>91</v>
      </c>
      <c r="F2743" s="9">
        <v>72</v>
      </c>
      <c r="G2743" s="9">
        <v>806</v>
      </c>
      <c r="H2743" s="5" t="s">
        <v>20</v>
      </c>
      <c r="I2743" s="5" t="s">
        <v>6752</v>
      </c>
      <c r="J2743" s="12" t="str">
        <f>HYPERLINK("https://www.boe.es/gazeta/dias/1804/09/07/pdfs/GMD-1804-72.pdf#page=8","Abrir facsímil")</f>
        <v>Abrir facsímil</v>
      </c>
      <c r="K2743" s="15" t="s">
        <v>22</v>
      </c>
    </row>
    <row r="2744" spans="1:11" ht="42" customHeight="1">
      <c r="A2744" s="4" t="s">
        <v>6753</v>
      </c>
      <c r="B2744" s="5" t="s">
        <v>6753</v>
      </c>
      <c r="C2744" s="5" t="s">
        <v>17</v>
      </c>
      <c r="D2744" s="5" t="s">
        <v>18</v>
      </c>
      <c r="E2744" s="5" t="s">
        <v>151</v>
      </c>
      <c r="F2744" s="9">
        <v>13</v>
      </c>
      <c r="G2744" s="9">
        <v>142</v>
      </c>
      <c r="H2744" s="5" t="s">
        <v>20</v>
      </c>
      <c r="I2744" s="5" t="s">
        <v>6754</v>
      </c>
      <c r="J2744" s="12" t="str">
        <f>HYPERLINK("https://www.boe.es/gazeta/dias/1804/02/14/pdfs/GMD-1804-13.pdf#page=6","Abrir facsímil")</f>
        <v>Abrir facsímil</v>
      </c>
      <c r="K2744" s="15" t="s">
        <v>22</v>
      </c>
    </row>
    <row r="2745" spans="1:11" ht="42" customHeight="1">
      <c r="A2745" s="4" t="s">
        <v>6755</v>
      </c>
      <c r="B2745" s="5" t="s">
        <v>6755</v>
      </c>
      <c r="C2745" s="5" t="s">
        <v>27</v>
      </c>
      <c r="D2745" s="5" t="s">
        <v>28</v>
      </c>
      <c r="E2745" s="5" t="s">
        <v>109</v>
      </c>
      <c r="F2745" s="9">
        <v>35</v>
      </c>
      <c r="G2745" s="9">
        <v>387</v>
      </c>
      <c r="H2745" s="5" t="s">
        <v>20</v>
      </c>
      <c r="I2745" s="5" t="s">
        <v>6756</v>
      </c>
      <c r="J2745" s="12" t="str">
        <f>HYPERLINK("https://www.boe.es/gazeta/dias/1804/05/01/pdfs/GMD-1804-35.pdf#page=9","Abrir facsímil")</f>
        <v>Abrir facsímil</v>
      </c>
      <c r="K2745" s="15" t="s">
        <v>22</v>
      </c>
    </row>
    <row r="2746" spans="1:11" ht="42" customHeight="1">
      <c r="A2746" s="4" t="s">
        <v>6757</v>
      </c>
      <c r="B2746" s="5" t="s">
        <v>6757</v>
      </c>
      <c r="C2746" s="5" t="s">
        <v>27</v>
      </c>
      <c r="D2746" s="5" t="s">
        <v>28</v>
      </c>
      <c r="E2746" s="5" t="s">
        <v>143</v>
      </c>
      <c r="F2746" s="9">
        <v>87</v>
      </c>
      <c r="G2746" s="9">
        <v>963</v>
      </c>
      <c r="H2746" s="5" t="s">
        <v>20</v>
      </c>
      <c r="I2746" s="5" t="s">
        <v>6758</v>
      </c>
      <c r="J2746" s="12" t="str">
        <f>HYPERLINK("https://www.boe.es/gazeta/dias/1804/10/30/pdfs/GMD-1804-87.pdf#page=7","Abrir facsímil")</f>
        <v>Abrir facsímil</v>
      </c>
      <c r="K2746" s="15" t="s">
        <v>22</v>
      </c>
    </row>
    <row r="2747" spans="1:11" ht="42" customHeight="1">
      <c r="A2747" s="4" t="s">
        <v>6759</v>
      </c>
      <c r="B2747" s="5" t="s">
        <v>6759</v>
      </c>
      <c r="C2747" s="5" t="s">
        <v>27</v>
      </c>
      <c r="D2747" s="5" t="s">
        <v>28</v>
      </c>
      <c r="E2747" s="5" t="s">
        <v>1095</v>
      </c>
      <c r="F2747" s="9">
        <v>73</v>
      </c>
      <c r="G2747" s="9">
        <v>818</v>
      </c>
      <c r="H2747" s="5" t="s">
        <v>20</v>
      </c>
      <c r="I2747" s="5" t="s">
        <v>6760</v>
      </c>
      <c r="J2747" s="12" t="str">
        <f>HYPERLINK("https://www.boe.es/gazeta/dias/1804/09/11/pdfs/GMD-1804-73.pdf#page=8","Abrir facsímil")</f>
        <v>Abrir facsímil</v>
      </c>
      <c r="K2747" s="15" t="s">
        <v>22</v>
      </c>
    </row>
    <row r="2748" spans="1:11" ht="42" customHeight="1">
      <c r="A2748" s="4" t="s">
        <v>6761</v>
      </c>
      <c r="B2748" s="5" t="s">
        <v>6761</v>
      </c>
      <c r="C2748" s="5" t="s">
        <v>198</v>
      </c>
      <c r="D2748" s="5" t="s">
        <v>66</v>
      </c>
      <c r="E2748" s="5" t="s">
        <v>37</v>
      </c>
      <c r="F2748" s="9">
        <v>29</v>
      </c>
      <c r="G2748" s="9">
        <v>318</v>
      </c>
      <c r="H2748" s="5" t="s">
        <v>20</v>
      </c>
      <c r="I2748" s="5" t="s">
        <v>6762</v>
      </c>
      <c r="J2748" s="12" t="str">
        <f>HYPERLINK("https://www.boe.es/gazeta/dias/1804/04/10/pdfs/GMD-1804-29.pdf#page=8","Abrir facsímil")</f>
        <v>Abrir facsímil</v>
      </c>
      <c r="K2748" s="15" t="s">
        <v>22</v>
      </c>
    </row>
    <row r="2749" spans="1:11" ht="42" customHeight="1">
      <c r="A2749" s="4" t="s">
        <v>6763</v>
      </c>
      <c r="B2749" s="5" t="s">
        <v>6763</v>
      </c>
      <c r="C2749" s="5" t="s">
        <v>27</v>
      </c>
      <c r="D2749" s="5" t="s">
        <v>28</v>
      </c>
      <c r="E2749" s="5" t="s">
        <v>234</v>
      </c>
      <c r="F2749" s="9">
        <v>86</v>
      </c>
      <c r="G2749" s="9">
        <v>948</v>
      </c>
      <c r="H2749" s="5" t="s">
        <v>20</v>
      </c>
      <c r="I2749" s="5" t="s">
        <v>6764</v>
      </c>
      <c r="J2749" s="12" t="str">
        <f>HYPERLINK("https://www.boe.es/gazeta/dias/1804/10/26/pdfs/GMD-1804-86.pdf#page=6","Abrir facsímil")</f>
        <v>Abrir facsímil</v>
      </c>
      <c r="K2749" s="15" t="s">
        <v>22</v>
      </c>
    </row>
    <row r="2750" spans="1:11" ht="42" customHeight="1">
      <c r="A2750" s="4" t="s">
        <v>6765</v>
      </c>
      <c r="B2750" s="5" t="s">
        <v>6765</v>
      </c>
      <c r="C2750" s="5" t="s">
        <v>27</v>
      </c>
      <c r="D2750" s="5" t="s">
        <v>28</v>
      </c>
      <c r="E2750" s="5" t="s">
        <v>77</v>
      </c>
      <c r="F2750" s="9">
        <v>32</v>
      </c>
      <c r="G2750" s="9">
        <v>356</v>
      </c>
      <c r="H2750" s="5" t="s">
        <v>20</v>
      </c>
      <c r="I2750" s="5" t="s">
        <v>6766</v>
      </c>
      <c r="J2750" s="12" t="str">
        <f>HYPERLINK("https://www.boe.es/gazeta/dias/1804/04/20/pdfs/GMD-1804-32.pdf#page=10","Abrir facsímil")</f>
        <v>Abrir facsímil</v>
      </c>
      <c r="K2750" s="15" t="s">
        <v>22</v>
      </c>
    </row>
    <row r="2751" spans="1:11" ht="42" customHeight="1">
      <c r="A2751" s="4" t="s">
        <v>6767</v>
      </c>
      <c r="B2751" s="5" t="s">
        <v>6767</v>
      </c>
      <c r="C2751" s="5" t="s">
        <v>17</v>
      </c>
      <c r="D2751" s="5" t="s">
        <v>18</v>
      </c>
      <c r="E2751" s="5" t="s">
        <v>37</v>
      </c>
      <c r="F2751" s="9">
        <v>29</v>
      </c>
      <c r="G2751" s="9">
        <v>319</v>
      </c>
      <c r="H2751" s="5" t="s">
        <v>20</v>
      </c>
      <c r="I2751" s="5" t="s">
        <v>6768</v>
      </c>
      <c r="J2751" s="12" t="str">
        <f>HYPERLINK("https://www.boe.es/gazeta/dias/1804/04/10/pdfs/GMD-1804-29.pdf#page=9","Abrir facsímil")</f>
        <v>Abrir facsímil</v>
      </c>
      <c r="K2751" s="15" t="s">
        <v>22</v>
      </c>
    </row>
    <row r="2752" spans="1:11" ht="42" customHeight="1">
      <c r="A2752" s="4" t="s">
        <v>6769</v>
      </c>
      <c r="B2752" s="5" t="s">
        <v>6769</v>
      </c>
      <c r="C2752" s="5" t="s">
        <v>17</v>
      </c>
      <c r="D2752" s="5" t="s">
        <v>18</v>
      </c>
      <c r="E2752" s="5" t="s">
        <v>709</v>
      </c>
      <c r="F2752" s="9">
        <v>82</v>
      </c>
      <c r="G2752" s="9">
        <v>907</v>
      </c>
      <c r="H2752" s="5" t="s">
        <v>20</v>
      </c>
      <c r="I2752" s="5" t="s">
        <v>6770</v>
      </c>
      <c r="J2752" s="12" t="str">
        <f>HYPERLINK("https://www.boe.es/gazeta/dias/1804/10/12/pdfs/GMD-1804-82.pdf#page=9","Abrir facsímil")</f>
        <v>Abrir facsímil</v>
      </c>
      <c r="K2752" s="15" t="s">
        <v>22</v>
      </c>
    </row>
    <row r="2753" spans="1:11" ht="42" customHeight="1">
      <c r="A2753" s="4" t="s">
        <v>6771</v>
      </c>
      <c r="B2753" s="5" t="s">
        <v>6771</v>
      </c>
      <c r="C2753" s="5" t="s">
        <v>27</v>
      </c>
      <c r="D2753" s="5" t="s">
        <v>28</v>
      </c>
      <c r="E2753" s="5" t="s">
        <v>623</v>
      </c>
      <c r="F2753" s="9">
        <v>51</v>
      </c>
      <c r="G2753" s="9">
        <v>561</v>
      </c>
      <c r="H2753" s="5" t="s">
        <v>20</v>
      </c>
      <c r="I2753" s="5" t="s">
        <v>6772</v>
      </c>
      <c r="J2753" s="12" t="str">
        <f>HYPERLINK("https://www.boe.es/gazeta/dias/1804/06/26/pdfs/GMD-1804-51.pdf#page=7","Abrir facsímil")</f>
        <v>Abrir facsímil</v>
      </c>
      <c r="K2753" s="15" t="s">
        <v>22</v>
      </c>
    </row>
    <row r="2754" spans="1:11" ht="42" customHeight="1">
      <c r="A2754" s="4" t="s">
        <v>6773</v>
      </c>
      <c r="B2754" s="5" t="s">
        <v>6773</v>
      </c>
      <c r="C2754" s="5" t="s">
        <v>65</v>
      </c>
      <c r="D2754" s="5" t="s">
        <v>66</v>
      </c>
      <c r="E2754" s="5" t="s">
        <v>216</v>
      </c>
      <c r="F2754" s="9">
        <v>67</v>
      </c>
      <c r="G2754" s="9">
        <v>750</v>
      </c>
      <c r="H2754" s="5" t="s">
        <v>20</v>
      </c>
      <c r="I2754" s="5" t="s">
        <v>6774</v>
      </c>
      <c r="J2754" s="12" t="str">
        <f>HYPERLINK("https://www.boe.es/gazeta/dias/1804/08/21/pdfs/GMD-1804-67.pdf#page=8","Abrir facsímil")</f>
        <v>Abrir facsímil</v>
      </c>
      <c r="K2754" s="15" t="s">
        <v>22</v>
      </c>
    </row>
    <row r="2755" spans="1:11" ht="42" customHeight="1">
      <c r="A2755" s="4" t="s">
        <v>6775</v>
      </c>
      <c r="B2755" s="5" t="s">
        <v>6775</v>
      </c>
      <c r="C2755" s="5" t="s">
        <v>17</v>
      </c>
      <c r="D2755" s="5" t="s">
        <v>18</v>
      </c>
      <c r="E2755" s="5" t="s">
        <v>704</v>
      </c>
      <c r="F2755" s="9">
        <v>36</v>
      </c>
      <c r="G2755" s="9">
        <v>400</v>
      </c>
      <c r="H2755" s="5" t="s">
        <v>20</v>
      </c>
      <c r="I2755" s="5" t="s">
        <v>6776</v>
      </c>
      <c r="J2755" s="12" t="str">
        <f>HYPERLINK("https://www.boe.es/gazeta/dias/1804/05/04/pdfs/GMD-1804-36.pdf#page=10","Abrir facsímil")</f>
        <v>Abrir facsímil</v>
      </c>
      <c r="K2755" s="15" t="s">
        <v>22</v>
      </c>
    </row>
    <row r="2756" spans="1:11" ht="42" customHeight="1">
      <c r="A2756" s="4" t="s">
        <v>6777</v>
      </c>
      <c r="B2756" s="5" t="s">
        <v>6778</v>
      </c>
      <c r="C2756" s="5" t="s">
        <v>27</v>
      </c>
      <c r="D2756" s="5" t="s">
        <v>28</v>
      </c>
      <c r="E2756" s="5" t="s">
        <v>206</v>
      </c>
      <c r="F2756" s="9">
        <v>44</v>
      </c>
      <c r="G2756" s="9">
        <v>488</v>
      </c>
      <c r="H2756" s="5" t="s">
        <v>20</v>
      </c>
      <c r="I2756" s="5" t="s">
        <v>6779</v>
      </c>
      <c r="J2756" s="12" t="str">
        <f>HYPERLINK("https://www.boe.es/gazeta/dias/1804/06/01/pdfs/GMD-1804-44.pdf#page=6","Abrir facsímil")</f>
        <v>Abrir facsímil</v>
      </c>
      <c r="K2756" s="15" t="s">
        <v>22</v>
      </c>
    </row>
    <row r="2757" spans="1:11" ht="42" customHeight="1">
      <c r="A2757" s="4" t="s">
        <v>6780</v>
      </c>
      <c r="B2757" s="5" t="s">
        <v>6780</v>
      </c>
      <c r="C2757" s="5" t="s">
        <v>85</v>
      </c>
      <c r="D2757" s="5" t="s">
        <v>86</v>
      </c>
      <c r="E2757" s="5" t="s">
        <v>332</v>
      </c>
      <c r="F2757" s="9">
        <v>66</v>
      </c>
      <c r="G2757" s="9">
        <v>742</v>
      </c>
      <c r="H2757" s="5" t="s">
        <v>20</v>
      </c>
      <c r="I2757" s="5" t="s">
        <v>6781</v>
      </c>
      <c r="J2757" s="12" t="str">
        <f>HYPERLINK("https://www.boe.es/gazeta/dias/1804/08/17/pdfs/GMD-1804-66.pdf#page=8","Abrir facsímil")</f>
        <v>Abrir facsímil</v>
      </c>
      <c r="K2757" s="15" t="s">
        <v>22</v>
      </c>
    </row>
    <row r="2758" spans="1:11" ht="42" customHeight="1">
      <c r="A2758" s="4" t="s">
        <v>6782</v>
      </c>
      <c r="B2758" s="5" t="s">
        <v>6782</v>
      </c>
      <c r="C2758" s="5" t="s">
        <v>27</v>
      </c>
      <c r="D2758" s="5" t="s">
        <v>28</v>
      </c>
      <c r="E2758" s="5" t="s">
        <v>143</v>
      </c>
      <c r="F2758" s="9">
        <v>87</v>
      </c>
      <c r="G2758" s="9">
        <v>963</v>
      </c>
      <c r="H2758" s="5" t="s">
        <v>20</v>
      </c>
      <c r="I2758" s="5" t="s">
        <v>6783</v>
      </c>
      <c r="J2758" s="12" t="str">
        <f>HYPERLINK("https://www.boe.es/gazeta/dias/1804/10/30/pdfs/GMD-1804-87.pdf#page=7","Abrir facsímil")</f>
        <v>Abrir facsímil</v>
      </c>
      <c r="K2758" s="15" t="s">
        <v>22</v>
      </c>
    </row>
    <row r="2759" spans="1:11" ht="42" customHeight="1">
      <c r="A2759" s="4" t="s">
        <v>6784</v>
      </c>
      <c r="B2759" s="5" t="s">
        <v>6784</v>
      </c>
      <c r="C2759" s="5" t="s">
        <v>27</v>
      </c>
      <c r="D2759" s="5" t="s">
        <v>28</v>
      </c>
      <c r="E2759" s="5" t="s">
        <v>140</v>
      </c>
      <c r="F2759" s="9">
        <v>39</v>
      </c>
      <c r="G2759" s="9">
        <v>435</v>
      </c>
      <c r="H2759" s="5" t="s">
        <v>20</v>
      </c>
      <c r="I2759" s="5" t="s">
        <v>6785</v>
      </c>
      <c r="J2759" s="12" t="str">
        <f>HYPERLINK("https://www.boe.es/gazeta/dias/1804/05/15/pdfs/GMD-1804-39.pdf#page=9","Abrir facsímil")</f>
        <v>Abrir facsímil</v>
      </c>
      <c r="K2759" s="15" t="s">
        <v>22</v>
      </c>
    </row>
    <row r="2760" spans="1:11" ht="42" customHeight="1">
      <c r="A2760" s="4" t="s">
        <v>6786</v>
      </c>
      <c r="B2760" s="5" t="s">
        <v>6786</v>
      </c>
      <c r="C2760" s="5" t="s">
        <v>17</v>
      </c>
      <c r="D2760" s="5" t="s">
        <v>18</v>
      </c>
      <c r="E2760" s="5" t="s">
        <v>709</v>
      </c>
      <c r="F2760" s="9">
        <v>82</v>
      </c>
      <c r="G2760" s="9">
        <v>908</v>
      </c>
      <c r="H2760" s="5" t="s">
        <v>20</v>
      </c>
      <c r="I2760" s="5" t="s">
        <v>6787</v>
      </c>
      <c r="J2760" s="12" t="str">
        <f>HYPERLINK("https://www.boe.es/gazeta/dias/1804/10/12/pdfs/GMD-1804-82.pdf#page=10","Abrir facsímil")</f>
        <v>Abrir facsímil</v>
      </c>
      <c r="K2760" s="15" t="s">
        <v>22</v>
      </c>
    </row>
    <row r="2761" spans="1:11" ht="42" customHeight="1">
      <c r="A2761" s="4" t="s">
        <v>6788</v>
      </c>
      <c r="B2761" s="5" t="s">
        <v>6788</v>
      </c>
      <c r="C2761" s="5" t="s">
        <v>27</v>
      </c>
      <c r="D2761" s="5" t="s">
        <v>28</v>
      </c>
      <c r="E2761" s="5" t="s">
        <v>466</v>
      </c>
      <c r="F2761" s="9">
        <v>76</v>
      </c>
      <c r="G2761" s="9">
        <v>847</v>
      </c>
      <c r="H2761" s="5" t="s">
        <v>20</v>
      </c>
      <c r="I2761" s="5" t="s">
        <v>6789</v>
      </c>
      <c r="J2761" s="12" t="str">
        <f>HYPERLINK("https://www.boe.es/gazeta/dias/1804/09/21/pdfs/GMD-1804-76.pdf#page=5","Abrir facsímil")</f>
        <v>Abrir facsímil</v>
      </c>
      <c r="K2761" s="15" t="s">
        <v>22</v>
      </c>
    </row>
    <row r="2762" spans="1:11" ht="42" customHeight="1">
      <c r="A2762" s="4" t="s">
        <v>6790</v>
      </c>
      <c r="B2762" s="5" t="s">
        <v>6790</v>
      </c>
      <c r="C2762" s="5" t="s">
        <v>17</v>
      </c>
      <c r="D2762" s="5" t="s">
        <v>18</v>
      </c>
      <c r="E2762" s="5" t="s">
        <v>71</v>
      </c>
      <c r="F2762" s="9">
        <v>99</v>
      </c>
      <c r="G2762" s="9">
        <v>1107</v>
      </c>
      <c r="H2762" s="5" t="s">
        <v>20</v>
      </c>
      <c r="I2762" s="5" t="s">
        <v>6791</v>
      </c>
      <c r="J2762" s="12" t="str">
        <f>HYPERLINK("https://www.boe.es/gazeta/dias/1804/12/11/pdfs/GMD-1804-99.pdf#page=7","Abrir facsímil")</f>
        <v>Abrir facsímil</v>
      </c>
      <c r="K2762" s="15" t="s">
        <v>22</v>
      </c>
    </row>
    <row r="2763" spans="1:11" ht="42" customHeight="1">
      <c r="A2763" s="4" t="s">
        <v>6792</v>
      </c>
      <c r="B2763" s="5" t="s">
        <v>6792</v>
      </c>
      <c r="C2763" s="5" t="s">
        <v>17</v>
      </c>
      <c r="D2763" s="5" t="s">
        <v>18</v>
      </c>
      <c r="E2763" s="5" t="s">
        <v>71</v>
      </c>
      <c r="F2763" s="9">
        <v>99</v>
      </c>
      <c r="G2763" s="9">
        <v>1106</v>
      </c>
      <c r="H2763" s="5" t="s">
        <v>20</v>
      </c>
      <c r="I2763" s="5" t="s">
        <v>6793</v>
      </c>
      <c r="J2763" s="12" t="str">
        <f>HYPERLINK("https://www.boe.es/gazeta/dias/1804/12/11/pdfs/GMD-1804-99.pdf#page=6","Abrir facsímil")</f>
        <v>Abrir facsímil</v>
      </c>
      <c r="K2763" s="15" t="s">
        <v>22</v>
      </c>
    </row>
    <row r="2764" spans="1:11" ht="42" customHeight="1">
      <c r="A2764" s="4" t="s">
        <v>6794</v>
      </c>
      <c r="B2764" s="5" t="s">
        <v>6794</v>
      </c>
      <c r="C2764" s="5" t="s">
        <v>27</v>
      </c>
      <c r="D2764" s="5" t="s">
        <v>28</v>
      </c>
      <c r="E2764" s="5" t="s">
        <v>794</v>
      </c>
      <c r="F2764" s="9">
        <v>42</v>
      </c>
      <c r="G2764" s="9">
        <v>473</v>
      </c>
      <c r="H2764" s="5" t="s">
        <v>20</v>
      </c>
      <c r="I2764" s="5" t="s">
        <v>6795</v>
      </c>
      <c r="J2764" s="12" t="str">
        <f>HYPERLINK("https://www.boe.es/gazeta/dias/1804/05/25/pdfs/GMD-1804-42.pdf#page=11","Abrir facsímil")</f>
        <v>Abrir facsímil</v>
      </c>
      <c r="K2764" s="15" t="s">
        <v>22</v>
      </c>
    </row>
    <row r="2765" spans="1:11" ht="42" customHeight="1">
      <c r="A2765" s="4" t="s">
        <v>6796</v>
      </c>
      <c r="B2765" s="5" t="s">
        <v>6796</v>
      </c>
      <c r="C2765" s="5" t="s">
        <v>27</v>
      </c>
      <c r="D2765" s="5" t="s">
        <v>28</v>
      </c>
      <c r="E2765" s="5" t="s">
        <v>272</v>
      </c>
      <c r="F2765" s="9">
        <v>30</v>
      </c>
      <c r="G2765" s="9">
        <v>330</v>
      </c>
      <c r="H2765" s="5" t="s">
        <v>20</v>
      </c>
      <c r="I2765" s="5" t="s">
        <v>6797</v>
      </c>
      <c r="J2765" s="12" t="str">
        <f>HYPERLINK("https://www.boe.es/gazeta/dias/1804/04/13/pdfs/GMD-1804-30.pdf#page=8","Abrir facsímil")</f>
        <v>Abrir facsímil</v>
      </c>
      <c r="K2765" s="15" t="s">
        <v>22</v>
      </c>
    </row>
    <row r="2766" spans="1:11" ht="42" customHeight="1">
      <c r="A2766" s="4" t="s">
        <v>6798</v>
      </c>
      <c r="B2766" s="5" t="s">
        <v>6798</v>
      </c>
      <c r="C2766" s="5" t="s">
        <v>17</v>
      </c>
      <c r="D2766" s="5" t="s">
        <v>18</v>
      </c>
      <c r="E2766" s="5" t="s">
        <v>367</v>
      </c>
      <c r="F2766" s="9">
        <v>64</v>
      </c>
      <c r="G2766" s="9">
        <v>716</v>
      </c>
      <c r="H2766" s="5" t="s">
        <v>20</v>
      </c>
      <c r="I2766" s="5" t="s">
        <v>6799</v>
      </c>
      <c r="J2766" s="12" t="str">
        <f>HYPERLINK("https://www.boe.es/gazeta/dias/1804/08/10/pdfs/GMD-1804-64.pdf#page=10","Abrir facsímil")</f>
        <v>Abrir facsímil</v>
      </c>
      <c r="K2766" s="15" t="s">
        <v>22</v>
      </c>
    </row>
    <row r="2767" spans="1:11" ht="42" customHeight="1">
      <c r="A2767" s="4" t="s">
        <v>6800</v>
      </c>
      <c r="B2767" s="5" t="s">
        <v>6800</v>
      </c>
      <c r="C2767" s="5" t="s">
        <v>17</v>
      </c>
      <c r="D2767" s="5" t="s">
        <v>18</v>
      </c>
      <c r="E2767" s="5" t="s">
        <v>182</v>
      </c>
      <c r="F2767" s="9">
        <v>21</v>
      </c>
      <c r="G2767" s="9">
        <v>234</v>
      </c>
      <c r="H2767" s="5" t="s">
        <v>20</v>
      </c>
      <c r="I2767" s="5" t="s">
        <v>6801</v>
      </c>
      <c r="J2767" s="12" t="str">
        <f>HYPERLINK("https://www.boe.es/gazeta/dias/1804/03/13/pdfs/GMD-1804-21.pdf#page=10","Abrir facsímil")</f>
        <v>Abrir facsímil</v>
      </c>
      <c r="K2767" s="15" t="s">
        <v>22</v>
      </c>
    </row>
    <row r="2768" spans="1:11" ht="42" customHeight="1">
      <c r="A2768" s="4" t="s">
        <v>6802</v>
      </c>
      <c r="B2768" s="5" t="s">
        <v>6802</v>
      </c>
      <c r="C2768" s="5" t="s">
        <v>85</v>
      </c>
      <c r="D2768" s="5" t="s">
        <v>86</v>
      </c>
      <c r="E2768" s="5" t="s">
        <v>19</v>
      </c>
      <c r="F2768" s="9">
        <v>60</v>
      </c>
      <c r="G2768" s="9">
        <v>668</v>
      </c>
      <c r="H2768" s="5" t="s">
        <v>20</v>
      </c>
      <c r="I2768" s="5" t="s">
        <v>6803</v>
      </c>
      <c r="J2768" s="12" t="str">
        <f>HYPERLINK("https://www.boe.es/gazeta/dias/1804/07/27/pdfs/GMD-1804-60.pdf#page=10","Abrir facsímil")</f>
        <v>Abrir facsímil</v>
      </c>
      <c r="K2768" s="15" t="s">
        <v>22</v>
      </c>
    </row>
    <row r="2769" spans="1:11" ht="42" customHeight="1">
      <c r="A2769" s="4" t="s">
        <v>6804</v>
      </c>
      <c r="B2769" s="5" t="s">
        <v>6804</v>
      </c>
      <c r="C2769" s="5" t="s">
        <v>85</v>
      </c>
      <c r="D2769" s="5" t="s">
        <v>86</v>
      </c>
      <c r="E2769" s="5" t="s">
        <v>637</v>
      </c>
      <c r="F2769" s="9">
        <v>74</v>
      </c>
      <c r="G2769" s="9">
        <v>834</v>
      </c>
      <c r="H2769" s="5" t="s">
        <v>20</v>
      </c>
      <c r="I2769" s="5" t="s">
        <v>6805</v>
      </c>
      <c r="J2769" s="12" t="str">
        <f>HYPERLINK("https://www.boe.es/gazeta/dias/1804/09/14/pdfs/GMD-1804-74.pdf#page=12","Abrir facsímil")</f>
        <v>Abrir facsímil</v>
      </c>
      <c r="K2769" s="15" t="s">
        <v>22</v>
      </c>
    </row>
    <row r="2770" spans="1:11" ht="42" customHeight="1">
      <c r="A2770" s="4" t="s">
        <v>6806</v>
      </c>
      <c r="B2770" s="5" t="s">
        <v>6806</v>
      </c>
      <c r="C2770" s="5" t="s">
        <v>85</v>
      </c>
      <c r="D2770" s="5" t="s">
        <v>86</v>
      </c>
      <c r="E2770" s="5" t="s">
        <v>147</v>
      </c>
      <c r="F2770" s="9">
        <v>77</v>
      </c>
      <c r="G2770" s="9">
        <v>862</v>
      </c>
      <c r="H2770" s="5" t="s">
        <v>20</v>
      </c>
      <c r="I2770" s="5" t="s">
        <v>6807</v>
      </c>
      <c r="J2770" s="12" t="str">
        <f>HYPERLINK("https://www.boe.es/gazeta/dias/1804/09/25/pdfs/GMD-1804-77.pdf#page=12","Abrir facsímil")</f>
        <v>Abrir facsímil</v>
      </c>
      <c r="K2770" s="15" t="s">
        <v>22</v>
      </c>
    </row>
    <row r="2771" spans="1:11" ht="42" customHeight="1">
      <c r="A2771" s="4" t="s">
        <v>6808</v>
      </c>
      <c r="B2771" s="5" t="s">
        <v>6808</v>
      </c>
      <c r="C2771" s="5" t="s">
        <v>198</v>
      </c>
      <c r="D2771" s="5" t="s">
        <v>66</v>
      </c>
      <c r="E2771" s="5" t="s">
        <v>155</v>
      </c>
      <c r="F2771" s="9">
        <v>92</v>
      </c>
      <c r="G2771" s="9">
        <v>1020</v>
      </c>
      <c r="H2771" s="5" t="s">
        <v>20</v>
      </c>
      <c r="I2771" s="5" t="s">
        <v>6809</v>
      </c>
      <c r="J2771" s="12" t="str">
        <f>HYPERLINK("https://www.boe.es/gazeta/dias/1804/11/16/pdfs/GMD-1804-92.pdf#page=8","Abrir facsímil")</f>
        <v>Abrir facsímil</v>
      </c>
      <c r="K2771" s="15" t="s">
        <v>22</v>
      </c>
    </row>
    <row r="2772" spans="1:11" ht="42" customHeight="1">
      <c r="A2772" s="4" t="s">
        <v>6810</v>
      </c>
      <c r="B2772" s="5" t="s">
        <v>6810</v>
      </c>
      <c r="C2772" s="5" t="s">
        <v>27</v>
      </c>
      <c r="D2772" s="5" t="s">
        <v>28</v>
      </c>
      <c r="E2772" s="5" t="s">
        <v>29</v>
      </c>
      <c r="F2772" s="9">
        <v>88</v>
      </c>
      <c r="G2772" s="9">
        <v>976</v>
      </c>
      <c r="H2772" s="5" t="s">
        <v>20</v>
      </c>
      <c r="I2772" s="5" t="s">
        <v>6811</v>
      </c>
      <c r="J2772" s="12" t="str">
        <f>HYPERLINK("https://www.boe.es/gazeta/dias/1804/11/02/pdfs/GMD-1804-88.pdf#page=8","Abrir facsímil")</f>
        <v>Abrir facsímil</v>
      </c>
      <c r="K2772" s="15" t="s">
        <v>22</v>
      </c>
    </row>
    <row r="2773" spans="1:11" ht="42" customHeight="1">
      <c r="A2773" s="4" t="s">
        <v>6812</v>
      </c>
      <c r="B2773" s="5" t="s">
        <v>6812</v>
      </c>
      <c r="C2773" s="5" t="s">
        <v>27</v>
      </c>
      <c r="D2773" s="5" t="s">
        <v>28</v>
      </c>
      <c r="E2773" s="5" t="s">
        <v>43</v>
      </c>
      <c r="F2773" s="9">
        <v>84</v>
      </c>
      <c r="G2773" s="9">
        <v>928</v>
      </c>
      <c r="H2773" s="5" t="s">
        <v>20</v>
      </c>
      <c r="I2773" s="5" t="s">
        <v>6813</v>
      </c>
      <c r="J2773" s="12" t="str">
        <f>HYPERLINK("https://www.boe.es/gazeta/dias/1804/10/19/pdfs/GMD-1804-84.pdf#page=6","Abrir facsímil")</f>
        <v>Abrir facsímil</v>
      </c>
      <c r="K2773" s="15" t="s">
        <v>22</v>
      </c>
    </row>
    <row r="2774" spans="1:11" ht="42" customHeight="1">
      <c r="A2774" s="4" t="s">
        <v>6814</v>
      </c>
      <c r="B2774" s="5" t="s">
        <v>6814</v>
      </c>
      <c r="C2774" s="5" t="s">
        <v>198</v>
      </c>
      <c r="D2774" s="5" t="s">
        <v>66</v>
      </c>
      <c r="E2774" s="5" t="s">
        <v>140</v>
      </c>
      <c r="F2774" s="9">
        <v>39</v>
      </c>
      <c r="G2774" s="9">
        <v>438</v>
      </c>
      <c r="H2774" s="5" t="s">
        <v>20</v>
      </c>
      <c r="I2774" s="5" t="s">
        <v>6815</v>
      </c>
      <c r="J2774" s="12" t="str">
        <f>HYPERLINK("https://www.boe.es/gazeta/dias/1804/05/15/pdfs/GMD-1804-39.pdf#page=12","Abrir facsímil")</f>
        <v>Abrir facsímil</v>
      </c>
      <c r="K2774" s="15" t="s">
        <v>22</v>
      </c>
    </row>
    <row r="2775" spans="1:11" ht="42" customHeight="1">
      <c r="A2775" s="4" t="s">
        <v>6816</v>
      </c>
      <c r="B2775" s="5" t="s">
        <v>6816</v>
      </c>
      <c r="C2775" s="5" t="s">
        <v>65</v>
      </c>
      <c r="D2775" s="5" t="s">
        <v>66</v>
      </c>
      <c r="E2775" s="5" t="s">
        <v>326</v>
      </c>
      <c r="F2775" s="9">
        <v>69</v>
      </c>
      <c r="G2775" s="9">
        <v>774</v>
      </c>
      <c r="H2775" s="5" t="s">
        <v>20</v>
      </c>
      <c r="I2775" s="5" t="s">
        <v>6817</v>
      </c>
      <c r="J2775" s="12" t="str">
        <f>HYPERLINK("https://www.boe.es/gazeta/dias/1804/08/28/pdfs/GMD-1804-69.pdf#page=8","Abrir facsímil")</f>
        <v>Abrir facsímil</v>
      </c>
      <c r="K2775" s="15" t="s">
        <v>22</v>
      </c>
    </row>
    <row r="2776" spans="1:11" ht="42" customHeight="1">
      <c r="A2776" s="4" t="s">
        <v>6818</v>
      </c>
      <c r="B2776" s="5" t="s">
        <v>6818</v>
      </c>
      <c r="C2776" s="5" t="s">
        <v>198</v>
      </c>
      <c r="D2776" s="5" t="s">
        <v>66</v>
      </c>
      <c r="E2776" s="5" t="s">
        <v>37</v>
      </c>
      <c r="F2776" s="9">
        <v>29</v>
      </c>
      <c r="G2776" s="9">
        <v>318</v>
      </c>
      <c r="H2776" s="5" t="s">
        <v>20</v>
      </c>
      <c r="I2776" s="5" t="s">
        <v>6819</v>
      </c>
      <c r="J2776" s="12" t="str">
        <f>HYPERLINK("https://www.boe.es/gazeta/dias/1804/04/10/pdfs/GMD-1804-29.pdf#page=8","Abrir facsímil")</f>
        <v>Abrir facsímil</v>
      </c>
      <c r="K2776" s="15" t="s">
        <v>22</v>
      </c>
    </row>
    <row r="2777" spans="1:11" ht="42" customHeight="1">
      <c r="A2777" s="4" t="s">
        <v>6820</v>
      </c>
      <c r="B2777" s="5" t="s">
        <v>6820</v>
      </c>
      <c r="C2777" s="5" t="s">
        <v>65</v>
      </c>
      <c r="D2777" s="5" t="s">
        <v>66</v>
      </c>
      <c r="E2777" s="5" t="s">
        <v>41</v>
      </c>
      <c r="F2777" s="9">
        <v>24</v>
      </c>
      <c r="G2777" s="9">
        <v>276</v>
      </c>
      <c r="H2777" s="5" t="s">
        <v>20</v>
      </c>
      <c r="I2777" s="5" t="s">
        <v>6821</v>
      </c>
      <c r="J2777" s="12" t="str">
        <f>HYPERLINK("https://www.boe.es/gazeta/dias/1804/03/23/pdfs/GMD-1804-24.pdf#page=10","Abrir facsímil")</f>
        <v>Abrir facsímil</v>
      </c>
      <c r="K2777" s="15" t="s">
        <v>22</v>
      </c>
    </row>
    <row r="2778" spans="1:11" ht="42" customHeight="1">
      <c r="A2778" s="4" t="s">
        <v>6822</v>
      </c>
      <c r="B2778" s="5" t="s">
        <v>6822</v>
      </c>
      <c r="C2778" s="5" t="s">
        <v>27</v>
      </c>
      <c r="D2778" s="5" t="s">
        <v>28</v>
      </c>
      <c r="E2778" s="5" t="s">
        <v>308</v>
      </c>
      <c r="F2778" s="9">
        <v>96</v>
      </c>
      <c r="G2778" s="9">
        <v>1068</v>
      </c>
      <c r="H2778" s="5" t="s">
        <v>20</v>
      </c>
      <c r="I2778" s="5" t="s">
        <v>6823</v>
      </c>
      <c r="J2778" s="12" t="str">
        <f>HYPERLINK("https://www.boe.es/gazeta/dias/1804/11/30/pdfs/GMD-1804-96.pdf#page=8","Abrir facsímil")</f>
        <v>Abrir facsímil</v>
      </c>
      <c r="K2778" s="15" t="s">
        <v>22</v>
      </c>
    </row>
    <row r="2779" spans="1:11" ht="42" customHeight="1">
      <c r="A2779" s="4" t="s">
        <v>6824</v>
      </c>
      <c r="B2779" s="5" t="s">
        <v>6824</v>
      </c>
      <c r="C2779" s="5" t="s">
        <v>27</v>
      </c>
      <c r="D2779" s="5" t="s">
        <v>28</v>
      </c>
      <c r="E2779" s="5" t="s">
        <v>206</v>
      </c>
      <c r="F2779" s="9">
        <v>44</v>
      </c>
      <c r="G2779" s="9">
        <v>489</v>
      </c>
      <c r="H2779" s="5" t="s">
        <v>20</v>
      </c>
      <c r="I2779" s="5" t="s">
        <v>6825</v>
      </c>
      <c r="J2779" s="12" t="str">
        <f>HYPERLINK("https://www.boe.es/gazeta/dias/1804/06/01/pdfs/GMD-1804-44.pdf#page=7","Abrir facsímil")</f>
        <v>Abrir facsímil</v>
      </c>
      <c r="K2779" s="15" t="s">
        <v>22</v>
      </c>
    </row>
    <row r="2780" spans="1:11" ht="42" customHeight="1">
      <c r="A2780" s="4" t="s">
        <v>6824</v>
      </c>
      <c r="B2780" s="5" t="s">
        <v>6824</v>
      </c>
      <c r="C2780" s="5" t="s">
        <v>27</v>
      </c>
      <c r="D2780" s="5" t="s">
        <v>28</v>
      </c>
      <c r="E2780" s="5" t="s">
        <v>709</v>
      </c>
      <c r="F2780" s="9">
        <v>82</v>
      </c>
      <c r="G2780" s="9">
        <v>907</v>
      </c>
      <c r="H2780" s="5" t="s">
        <v>20</v>
      </c>
      <c r="I2780" s="5" t="s">
        <v>6826</v>
      </c>
      <c r="J2780" s="12" t="str">
        <f>HYPERLINK("https://www.boe.es/gazeta/dias/1804/10/12/pdfs/GMD-1804-82.pdf#page=9","Abrir facsímil")</f>
        <v>Abrir facsímil</v>
      </c>
      <c r="K2780" s="15" t="s">
        <v>22</v>
      </c>
    </row>
    <row r="2781" spans="1:11" ht="42" customHeight="1">
      <c r="A2781" s="4" t="s">
        <v>6827</v>
      </c>
      <c r="B2781" s="5" t="s">
        <v>6827</v>
      </c>
      <c r="C2781" s="5" t="s">
        <v>27</v>
      </c>
      <c r="D2781" s="5" t="s">
        <v>28</v>
      </c>
      <c r="E2781" s="5" t="s">
        <v>388</v>
      </c>
      <c r="F2781" s="9">
        <v>18</v>
      </c>
      <c r="G2781" s="9">
        <v>198</v>
      </c>
      <c r="H2781" s="5" t="s">
        <v>20</v>
      </c>
      <c r="I2781" s="5" t="s">
        <v>6828</v>
      </c>
      <c r="J2781" s="12" t="str">
        <f>HYPERLINK("https://www.boe.es/gazeta/dias/1804/03/02/pdfs/GMD-1804-18.pdf#page=10","Abrir facsímil")</f>
        <v>Abrir facsímil</v>
      </c>
      <c r="K2781" s="15" t="s">
        <v>22</v>
      </c>
    </row>
    <row r="2782" spans="1:11" ht="42" customHeight="1">
      <c r="A2782" s="4" t="s">
        <v>6829</v>
      </c>
      <c r="B2782" s="5" t="s">
        <v>6829</v>
      </c>
      <c r="C2782" s="5" t="s">
        <v>65</v>
      </c>
      <c r="D2782" s="5" t="s">
        <v>66</v>
      </c>
      <c r="E2782" s="5" t="s">
        <v>33</v>
      </c>
      <c r="F2782" s="9">
        <v>48</v>
      </c>
      <c r="G2782" s="9">
        <v>536</v>
      </c>
      <c r="H2782" s="5" t="s">
        <v>20</v>
      </c>
      <c r="I2782" s="5" t="s">
        <v>6830</v>
      </c>
      <c r="J2782" s="12" t="str">
        <f>HYPERLINK("https://www.boe.es/gazeta/dias/1804/06/15/pdfs/GMD-1804-48.pdf#page=6","Abrir facsímil")</f>
        <v>Abrir facsímil</v>
      </c>
      <c r="K2782" s="15" t="s">
        <v>22</v>
      </c>
    </row>
    <row r="2783" spans="1:11" ht="42" customHeight="1">
      <c r="A2783" s="4" t="s">
        <v>6831</v>
      </c>
      <c r="B2783" s="5" t="s">
        <v>6832</v>
      </c>
      <c r="C2783" s="5" t="s">
        <v>198</v>
      </c>
      <c r="D2783" s="5" t="s">
        <v>66</v>
      </c>
      <c r="E2783" s="5" t="s">
        <v>172</v>
      </c>
      <c r="F2783" s="9">
        <v>38</v>
      </c>
      <c r="G2783" s="9">
        <v>425</v>
      </c>
      <c r="H2783" s="5" t="s">
        <v>20</v>
      </c>
      <c r="I2783" s="5" t="s">
        <v>6833</v>
      </c>
      <c r="J2783" s="12" t="str">
        <f>HYPERLINK("https://www.boe.es/gazeta/dias/1804/05/11/pdfs/GMD-1804-38.pdf#page=11","Abrir facsímil")</f>
        <v>Abrir facsímil</v>
      </c>
      <c r="K2783" s="15" t="s">
        <v>22</v>
      </c>
    </row>
    <row r="2784" spans="1:11" ht="42" customHeight="1">
      <c r="A2784" s="4" t="s">
        <v>6834</v>
      </c>
      <c r="B2784" s="5" t="s">
        <v>6835</v>
      </c>
      <c r="C2784" s="5" t="s">
        <v>85</v>
      </c>
      <c r="D2784" s="5" t="s">
        <v>86</v>
      </c>
      <c r="E2784" s="5" t="s">
        <v>857</v>
      </c>
      <c r="F2784" s="9">
        <v>28</v>
      </c>
      <c r="G2784" s="9">
        <v>309</v>
      </c>
      <c r="H2784" s="5" t="s">
        <v>20</v>
      </c>
      <c r="I2784" s="5" t="s">
        <v>6836</v>
      </c>
      <c r="J2784" s="12" t="str">
        <f>HYPERLINK("https://www.boe.es/gazeta/dias/1804/04/06/pdfs/GMD-1804-28.pdf#page=7","Abrir facsímil")</f>
        <v>Abrir facsímil</v>
      </c>
      <c r="K2784" s="15" t="s">
        <v>22</v>
      </c>
    </row>
    <row r="2785" spans="1:11" ht="42" customHeight="1">
      <c r="A2785" s="4" t="s">
        <v>6837</v>
      </c>
      <c r="B2785" s="5" t="s">
        <v>6837</v>
      </c>
      <c r="C2785" s="5" t="s">
        <v>27</v>
      </c>
      <c r="D2785" s="5" t="s">
        <v>28</v>
      </c>
      <c r="E2785" s="5" t="s">
        <v>367</v>
      </c>
      <c r="F2785" s="9">
        <v>64</v>
      </c>
      <c r="G2785" s="9">
        <v>718</v>
      </c>
      <c r="H2785" s="5" t="s">
        <v>20</v>
      </c>
      <c r="I2785" s="5" t="s">
        <v>6838</v>
      </c>
      <c r="J2785" s="12" t="str">
        <f>HYPERLINK("https://www.boe.es/gazeta/dias/1804/08/10/pdfs/GMD-1804-64.pdf#page=12","Abrir facsímil")</f>
        <v>Abrir facsímil</v>
      </c>
      <c r="K2785" s="15" t="s">
        <v>22</v>
      </c>
    </row>
    <row r="2786" spans="1:11" ht="42" customHeight="1">
      <c r="A2786" s="4" t="s">
        <v>6839</v>
      </c>
      <c r="B2786" s="5" t="s">
        <v>6839</v>
      </c>
      <c r="C2786" s="5" t="s">
        <v>65</v>
      </c>
      <c r="D2786" s="5" t="s">
        <v>66</v>
      </c>
      <c r="E2786" s="5" t="s">
        <v>542</v>
      </c>
      <c r="F2786" s="9">
        <v>54</v>
      </c>
      <c r="G2786" s="9">
        <v>601</v>
      </c>
      <c r="H2786" s="5" t="s">
        <v>20</v>
      </c>
      <c r="I2786" s="5" t="s">
        <v>6840</v>
      </c>
      <c r="J2786" s="12" t="str">
        <f>HYPERLINK("https://www.boe.es/gazeta/dias/1804/07/06/pdfs/GMD-1804-54.pdf#page=7","Abrir facsímil")</f>
        <v>Abrir facsímil</v>
      </c>
      <c r="K2786" s="15" t="s">
        <v>22</v>
      </c>
    </row>
    <row r="2787" spans="1:11" ht="42" customHeight="1">
      <c r="A2787" s="4" t="s">
        <v>6841</v>
      </c>
      <c r="B2787" s="5" t="s">
        <v>6841</v>
      </c>
      <c r="C2787" s="5" t="s">
        <v>27</v>
      </c>
      <c r="D2787" s="5" t="s">
        <v>28</v>
      </c>
      <c r="E2787" s="5" t="s">
        <v>538</v>
      </c>
      <c r="F2787" s="9">
        <v>27</v>
      </c>
      <c r="G2787" s="9">
        <v>300</v>
      </c>
      <c r="H2787" s="5" t="s">
        <v>20</v>
      </c>
      <c r="I2787" s="5" t="s">
        <v>6842</v>
      </c>
      <c r="J2787" s="12" t="str">
        <f>HYPERLINK("https://www.boe.es/gazeta/dias/1804/04/03/pdfs/GMD-1804-27.pdf#page=6","Abrir facsímil")</f>
        <v>Abrir facsímil</v>
      </c>
      <c r="K2787" s="15" t="s">
        <v>22</v>
      </c>
    </row>
    <row r="2788" spans="1:11" ht="42" customHeight="1">
      <c r="A2788" s="4" t="s">
        <v>6841</v>
      </c>
      <c r="B2788" s="5" t="s">
        <v>6841</v>
      </c>
      <c r="C2788" s="5" t="s">
        <v>27</v>
      </c>
      <c r="D2788" s="5" t="s">
        <v>28</v>
      </c>
      <c r="E2788" s="5" t="s">
        <v>421</v>
      </c>
      <c r="F2788" s="9">
        <v>47</v>
      </c>
      <c r="G2788" s="9">
        <v>528</v>
      </c>
      <c r="H2788" s="5" t="s">
        <v>20</v>
      </c>
      <c r="I2788" s="5" t="s">
        <v>6843</v>
      </c>
      <c r="J2788" s="12" t="str">
        <f>HYPERLINK("https://www.boe.es/gazeta/dias/1804/06/12/pdfs/GMD-1804-47.pdf#page=10","Abrir facsímil")</f>
        <v>Abrir facsímil</v>
      </c>
      <c r="K2788" s="15" t="s">
        <v>22</v>
      </c>
    </row>
    <row r="2789" spans="1:11" ht="42" customHeight="1">
      <c r="A2789" s="4" t="s">
        <v>6841</v>
      </c>
      <c r="B2789" s="5" t="s">
        <v>6841</v>
      </c>
      <c r="C2789" s="5" t="s">
        <v>85</v>
      </c>
      <c r="D2789" s="5" t="s">
        <v>86</v>
      </c>
      <c r="E2789" s="5" t="s">
        <v>367</v>
      </c>
      <c r="F2789" s="9">
        <v>64</v>
      </c>
      <c r="G2789" s="9">
        <v>715</v>
      </c>
      <c r="H2789" s="5" t="s">
        <v>20</v>
      </c>
      <c r="I2789" s="5" t="s">
        <v>6844</v>
      </c>
      <c r="J2789" s="12" t="str">
        <f>HYPERLINK("https://www.boe.es/gazeta/dias/1804/08/10/pdfs/GMD-1804-64.pdf#page=9","Abrir facsímil")</f>
        <v>Abrir facsímil</v>
      </c>
      <c r="K2789" s="15" t="s">
        <v>22</v>
      </c>
    </row>
    <row r="2790" spans="1:11" ht="42" customHeight="1">
      <c r="A2790" s="4" t="s">
        <v>6841</v>
      </c>
      <c r="B2790" s="5" t="s">
        <v>6841</v>
      </c>
      <c r="C2790" s="5" t="s">
        <v>17</v>
      </c>
      <c r="D2790" s="5" t="s">
        <v>18</v>
      </c>
      <c r="E2790" s="5" t="s">
        <v>71</v>
      </c>
      <c r="F2790" s="9">
        <v>99</v>
      </c>
      <c r="G2790" s="9">
        <v>1107</v>
      </c>
      <c r="H2790" s="5" t="s">
        <v>20</v>
      </c>
      <c r="I2790" s="5" t="s">
        <v>6845</v>
      </c>
      <c r="J2790" s="12" t="str">
        <f>HYPERLINK("https://www.boe.es/gazeta/dias/1804/12/11/pdfs/GMD-1804-99.pdf#page=7","Abrir facsímil")</f>
        <v>Abrir facsímil</v>
      </c>
      <c r="K2790" s="15" t="s">
        <v>22</v>
      </c>
    </row>
    <row r="2791" spans="1:11" ht="42" customHeight="1">
      <c r="A2791" s="4" t="s">
        <v>6846</v>
      </c>
      <c r="B2791" s="5" t="s">
        <v>6846</v>
      </c>
      <c r="C2791" s="5" t="s">
        <v>85</v>
      </c>
      <c r="D2791" s="5" t="s">
        <v>86</v>
      </c>
      <c r="E2791" s="5" t="s">
        <v>466</v>
      </c>
      <c r="F2791" s="9">
        <v>76</v>
      </c>
      <c r="G2791" s="9">
        <v>848</v>
      </c>
      <c r="H2791" s="5" t="s">
        <v>20</v>
      </c>
      <c r="I2791" s="5" t="s">
        <v>6847</v>
      </c>
      <c r="J2791" s="12" t="str">
        <f>HYPERLINK("https://www.boe.es/gazeta/dias/1804/09/21/pdfs/GMD-1804-76.pdf#page=6","Abrir facsímil")</f>
        <v>Abrir facsímil</v>
      </c>
      <c r="K2791" s="15" t="s">
        <v>22</v>
      </c>
    </row>
    <row r="2792" spans="1:11" ht="42" customHeight="1">
      <c r="A2792" s="4" t="s">
        <v>6848</v>
      </c>
      <c r="B2792" s="5" t="s">
        <v>6848</v>
      </c>
      <c r="C2792" s="5" t="s">
        <v>120</v>
      </c>
      <c r="D2792" s="5" t="s">
        <v>121</v>
      </c>
      <c r="E2792" s="5" t="s">
        <v>33</v>
      </c>
      <c r="F2792" s="9">
        <v>48</v>
      </c>
      <c r="G2792" s="9" t="s">
        <v>285</v>
      </c>
      <c r="H2792" s="5" t="s">
        <v>20</v>
      </c>
      <c r="I2792" s="5" t="s">
        <v>6849</v>
      </c>
      <c r="J2792" s="12" t="str">
        <f>HYPERLINK("https://www.boe.es/gazeta/dias/1804/06/15/pdfs/GMD-C-1804-48.pdf#page=2","Abrir facsímil")</f>
        <v>Abrir facsímil</v>
      </c>
      <c r="K2792" s="15" t="s">
        <v>22</v>
      </c>
    </row>
    <row r="2793" spans="1:11" ht="42" customHeight="1">
      <c r="A2793" s="4" t="s">
        <v>6850</v>
      </c>
      <c r="B2793" s="5" t="s">
        <v>6850</v>
      </c>
      <c r="C2793" s="5" t="s">
        <v>27</v>
      </c>
      <c r="D2793" s="5" t="s">
        <v>28</v>
      </c>
      <c r="E2793" s="5" t="s">
        <v>538</v>
      </c>
      <c r="F2793" s="9">
        <v>27</v>
      </c>
      <c r="G2793" s="9">
        <v>300</v>
      </c>
      <c r="H2793" s="5" t="s">
        <v>20</v>
      </c>
      <c r="I2793" s="5" t="s">
        <v>6851</v>
      </c>
      <c r="J2793" s="12" t="str">
        <f>HYPERLINK("https://www.boe.es/gazeta/dias/1804/04/03/pdfs/GMD-1804-27.pdf#page=6","Abrir facsímil")</f>
        <v>Abrir facsímil</v>
      </c>
      <c r="K2793" s="15" t="s">
        <v>22</v>
      </c>
    </row>
    <row r="2794" spans="1:11" ht="42" customHeight="1">
      <c r="A2794" s="4" t="s">
        <v>6852</v>
      </c>
      <c r="B2794" s="5" t="s">
        <v>6852</v>
      </c>
      <c r="C2794" s="5" t="s">
        <v>27</v>
      </c>
      <c r="D2794" s="5" t="s">
        <v>28</v>
      </c>
      <c r="E2794" s="5" t="s">
        <v>234</v>
      </c>
      <c r="F2794" s="9">
        <v>86</v>
      </c>
      <c r="G2794" s="9">
        <v>948</v>
      </c>
      <c r="H2794" s="5" t="s">
        <v>20</v>
      </c>
      <c r="I2794" s="5" t="s">
        <v>6853</v>
      </c>
      <c r="J2794" s="12" t="str">
        <f>HYPERLINK("https://www.boe.es/gazeta/dias/1804/10/26/pdfs/GMD-1804-86.pdf#page=6","Abrir facsímil")</f>
        <v>Abrir facsímil</v>
      </c>
      <c r="K2794" s="15" t="s">
        <v>22</v>
      </c>
    </row>
    <row r="2795" spans="1:11" ht="42" customHeight="1">
      <c r="A2795" s="4" t="s">
        <v>6854</v>
      </c>
      <c r="B2795" s="5" t="s">
        <v>6854</v>
      </c>
      <c r="C2795" s="5" t="s">
        <v>27</v>
      </c>
      <c r="D2795" s="5" t="s">
        <v>28</v>
      </c>
      <c r="E2795" s="5" t="s">
        <v>484</v>
      </c>
      <c r="F2795" s="9">
        <v>53</v>
      </c>
      <c r="G2795" s="9">
        <v>591</v>
      </c>
      <c r="H2795" s="5" t="s">
        <v>20</v>
      </c>
      <c r="I2795" s="5" t="s">
        <v>6855</v>
      </c>
      <c r="J2795" s="12" t="str">
        <f>HYPERLINK("https://www.boe.es/gazeta/dias/1804/07/03/pdfs/GMD-1804-53.pdf#page=9","Abrir facsímil")</f>
        <v>Abrir facsímil</v>
      </c>
      <c r="K2795" s="15" t="s">
        <v>22</v>
      </c>
    </row>
    <row r="2796" spans="1:11" ht="42" customHeight="1">
      <c r="A2796" s="4" t="s">
        <v>6856</v>
      </c>
      <c r="B2796" s="5" t="s">
        <v>6856</v>
      </c>
      <c r="C2796" s="5" t="s">
        <v>17</v>
      </c>
      <c r="D2796" s="5" t="s">
        <v>18</v>
      </c>
      <c r="E2796" s="5" t="s">
        <v>71</v>
      </c>
      <c r="F2796" s="9">
        <v>99</v>
      </c>
      <c r="G2796" s="9">
        <v>1106</v>
      </c>
      <c r="H2796" s="5" t="s">
        <v>20</v>
      </c>
      <c r="I2796" s="5" t="s">
        <v>6857</v>
      </c>
      <c r="J2796" s="12" t="str">
        <f>HYPERLINK("https://www.boe.es/gazeta/dias/1804/12/11/pdfs/GMD-1804-99.pdf#page=6","Abrir facsímil")</f>
        <v>Abrir facsímil</v>
      </c>
      <c r="K2796" s="15" t="s">
        <v>22</v>
      </c>
    </row>
    <row r="2797" spans="1:11" ht="42" customHeight="1">
      <c r="A2797" s="4" t="s">
        <v>6858</v>
      </c>
      <c r="B2797" s="5" t="s">
        <v>6858</v>
      </c>
      <c r="C2797" s="5" t="s">
        <v>27</v>
      </c>
      <c r="D2797" s="5" t="s">
        <v>28</v>
      </c>
      <c r="E2797" s="5" t="s">
        <v>794</v>
      </c>
      <c r="F2797" s="9">
        <v>42</v>
      </c>
      <c r="G2797" s="9">
        <v>473</v>
      </c>
      <c r="H2797" s="5" t="s">
        <v>20</v>
      </c>
      <c r="I2797" s="5" t="s">
        <v>6859</v>
      </c>
      <c r="J2797" s="12" t="str">
        <f>HYPERLINK("https://www.boe.es/gazeta/dias/1804/05/25/pdfs/GMD-1804-42.pdf#page=11","Abrir facsímil")</f>
        <v>Abrir facsímil</v>
      </c>
      <c r="K2797" s="15" t="s">
        <v>22</v>
      </c>
    </row>
    <row r="2798" spans="1:11" ht="42" customHeight="1">
      <c r="A2798" s="4" t="s">
        <v>6860</v>
      </c>
      <c r="B2798" s="5" t="s">
        <v>6860</v>
      </c>
      <c r="C2798" s="5" t="s">
        <v>17</v>
      </c>
      <c r="D2798" s="5" t="s">
        <v>18</v>
      </c>
      <c r="E2798" s="5" t="s">
        <v>367</v>
      </c>
      <c r="F2798" s="9">
        <v>64</v>
      </c>
      <c r="G2798" s="9">
        <v>716</v>
      </c>
      <c r="H2798" s="5" t="s">
        <v>20</v>
      </c>
      <c r="I2798" s="5" t="s">
        <v>6861</v>
      </c>
      <c r="J2798" s="12" t="str">
        <f>HYPERLINK("https://www.boe.es/gazeta/dias/1804/08/10/pdfs/GMD-1804-64.pdf#page=10","Abrir facsímil")</f>
        <v>Abrir facsímil</v>
      </c>
      <c r="K2798" s="15" t="s">
        <v>22</v>
      </c>
    </row>
    <row r="2799" spans="1:11" ht="42" customHeight="1">
      <c r="A2799" s="4" t="s">
        <v>6862</v>
      </c>
      <c r="B2799" s="5" t="s">
        <v>6862</v>
      </c>
      <c r="C2799" s="5" t="s">
        <v>27</v>
      </c>
      <c r="D2799" s="5" t="s">
        <v>28</v>
      </c>
      <c r="E2799" s="5" t="s">
        <v>326</v>
      </c>
      <c r="F2799" s="9">
        <v>69</v>
      </c>
      <c r="G2799" s="9">
        <v>775</v>
      </c>
      <c r="H2799" s="5" t="s">
        <v>20</v>
      </c>
      <c r="I2799" s="5" t="s">
        <v>6863</v>
      </c>
      <c r="J2799" s="12" t="str">
        <f>HYPERLINK("https://www.boe.es/gazeta/dias/1804/08/28/pdfs/GMD-1804-69.pdf#page=9","Abrir facsímil")</f>
        <v>Abrir facsímil</v>
      </c>
      <c r="K2799" s="15" t="s">
        <v>22</v>
      </c>
    </row>
    <row r="2800" spans="1:11" ht="42" customHeight="1">
      <c r="A2800" s="4" t="s">
        <v>6864</v>
      </c>
      <c r="B2800" s="5" t="s">
        <v>6864</v>
      </c>
      <c r="C2800" s="5" t="s">
        <v>17</v>
      </c>
      <c r="D2800" s="5" t="s">
        <v>18</v>
      </c>
      <c r="E2800" s="5" t="s">
        <v>367</v>
      </c>
      <c r="F2800" s="9">
        <v>64</v>
      </c>
      <c r="G2800" s="9">
        <v>716</v>
      </c>
      <c r="H2800" s="5" t="s">
        <v>20</v>
      </c>
      <c r="I2800" s="5" t="s">
        <v>6865</v>
      </c>
      <c r="J2800" s="12" t="str">
        <f>HYPERLINK("https://www.boe.es/gazeta/dias/1804/08/10/pdfs/GMD-1804-64.pdf#page=10","Abrir facsímil")</f>
        <v>Abrir facsímil</v>
      </c>
      <c r="K2800" s="15" t="s">
        <v>22</v>
      </c>
    </row>
    <row r="2801" spans="1:11" ht="42" customHeight="1">
      <c r="A2801" s="4" t="s">
        <v>6866</v>
      </c>
      <c r="B2801" s="5" t="s">
        <v>6866</v>
      </c>
      <c r="C2801" s="5" t="s">
        <v>120</v>
      </c>
      <c r="D2801" s="5" t="s">
        <v>121</v>
      </c>
      <c r="E2801" s="5" t="s">
        <v>33</v>
      </c>
      <c r="F2801" s="9">
        <v>48</v>
      </c>
      <c r="G2801" s="9" t="s">
        <v>819</v>
      </c>
      <c r="H2801" s="5" t="s">
        <v>20</v>
      </c>
      <c r="I2801" s="5" t="s">
        <v>6867</v>
      </c>
      <c r="J2801" s="12" t="str">
        <f>HYPERLINK("https://www.boe.es/gazeta/dias/1804/06/15/pdfs/GMD-C-1804-48.pdf#page=4","Abrir facsímil")</f>
        <v>Abrir facsímil</v>
      </c>
      <c r="K2801" s="15" t="s">
        <v>22</v>
      </c>
    </row>
    <row r="2802" spans="1:11" ht="42" customHeight="1">
      <c r="A2802" s="4" t="s">
        <v>6868</v>
      </c>
      <c r="B2802" s="5" t="s">
        <v>6868</v>
      </c>
      <c r="C2802" s="5" t="s">
        <v>198</v>
      </c>
      <c r="D2802" s="5" t="s">
        <v>66</v>
      </c>
      <c r="E2802" s="5" t="s">
        <v>37</v>
      </c>
      <c r="F2802" s="9">
        <v>29</v>
      </c>
      <c r="G2802" s="9">
        <v>318</v>
      </c>
      <c r="H2802" s="5" t="s">
        <v>20</v>
      </c>
      <c r="I2802" s="5" t="s">
        <v>6869</v>
      </c>
      <c r="J2802" s="12" t="str">
        <f>HYPERLINK("https://www.boe.es/gazeta/dias/1804/04/10/pdfs/GMD-1804-29.pdf#page=8","Abrir facsímil")</f>
        <v>Abrir facsímil</v>
      </c>
      <c r="K2802" s="15" t="s">
        <v>22</v>
      </c>
    </row>
    <row r="2803" spans="1:11" ht="42" customHeight="1">
      <c r="A2803" s="4" t="s">
        <v>6870</v>
      </c>
      <c r="B2803" s="5" t="s">
        <v>6870</v>
      </c>
      <c r="C2803" s="5" t="s">
        <v>17</v>
      </c>
      <c r="D2803" s="5" t="s">
        <v>18</v>
      </c>
      <c r="E2803" s="5" t="s">
        <v>71</v>
      </c>
      <c r="F2803" s="9">
        <v>99</v>
      </c>
      <c r="G2803" s="9">
        <v>1106</v>
      </c>
      <c r="H2803" s="5" t="s">
        <v>20</v>
      </c>
      <c r="I2803" s="5" t="s">
        <v>6871</v>
      </c>
      <c r="J2803" s="12" t="str">
        <f>HYPERLINK("https://www.boe.es/gazeta/dias/1804/12/11/pdfs/GMD-1804-99.pdf#page=6","Abrir facsímil")</f>
        <v>Abrir facsímil</v>
      </c>
      <c r="K2803" s="15" t="s">
        <v>22</v>
      </c>
    </row>
    <row r="2804" spans="1:11" ht="42" customHeight="1">
      <c r="A2804" s="4" t="s">
        <v>6872</v>
      </c>
      <c r="B2804" s="5" t="s">
        <v>6872</v>
      </c>
      <c r="C2804" s="5" t="s">
        <v>27</v>
      </c>
      <c r="D2804" s="5" t="s">
        <v>28</v>
      </c>
      <c r="E2804" s="5" t="s">
        <v>178</v>
      </c>
      <c r="F2804" s="9">
        <v>20</v>
      </c>
      <c r="G2804" s="9">
        <v>220</v>
      </c>
      <c r="H2804" s="5" t="s">
        <v>20</v>
      </c>
      <c r="I2804" s="5" t="s">
        <v>6873</v>
      </c>
      <c r="J2804" s="12" t="str">
        <f>HYPERLINK("https://www.boe.es/gazeta/dias/1804/03/09/pdfs/GMD-1804-20.pdf#page=8","Abrir facsímil")</f>
        <v>Abrir facsímil</v>
      </c>
      <c r="K2804" s="15" t="s">
        <v>22</v>
      </c>
    </row>
    <row r="2805" spans="1:11" ht="42" customHeight="1">
      <c r="A2805" s="4" t="s">
        <v>6874</v>
      </c>
      <c r="B2805" s="5" t="s">
        <v>6874</v>
      </c>
      <c r="C2805" s="5" t="s">
        <v>17</v>
      </c>
      <c r="D2805" s="5" t="s">
        <v>18</v>
      </c>
      <c r="E2805" s="5" t="s">
        <v>41</v>
      </c>
      <c r="F2805" s="9">
        <v>24</v>
      </c>
      <c r="G2805" s="9">
        <v>274</v>
      </c>
      <c r="H2805" s="5" t="s">
        <v>20</v>
      </c>
      <c r="I2805" s="5" t="s">
        <v>6875</v>
      </c>
      <c r="J2805" s="12" t="str">
        <f>HYPERLINK("https://www.boe.es/gazeta/dias/1804/03/23/pdfs/GMD-1804-24.pdf#page=8","Abrir facsímil")</f>
        <v>Abrir facsímil</v>
      </c>
      <c r="K2805" s="15" t="s">
        <v>22</v>
      </c>
    </row>
    <row r="2806" spans="1:11" ht="42" customHeight="1">
      <c r="A2806" s="4" t="s">
        <v>6876</v>
      </c>
      <c r="B2806" s="5" t="s">
        <v>6876</v>
      </c>
      <c r="C2806" s="5" t="s">
        <v>27</v>
      </c>
      <c r="D2806" s="5" t="s">
        <v>28</v>
      </c>
      <c r="E2806" s="5" t="s">
        <v>245</v>
      </c>
      <c r="F2806" s="9">
        <v>6</v>
      </c>
      <c r="G2806" s="9">
        <v>58</v>
      </c>
      <c r="H2806" s="5" t="s">
        <v>20</v>
      </c>
      <c r="I2806" s="5" t="s">
        <v>6877</v>
      </c>
      <c r="J2806" s="12" t="str">
        <f>HYPERLINK("https://www.boe.es/gazeta/dias/1804/01/20/pdfs/GMD-1804-6.pdf#page=10","Abrir facsímil")</f>
        <v>Abrir facsímil</v>
      </c>
      <c r="K2806" s="15" t="s">
        <v>22</v>
      </c>
    </row>
    <row r="2807" spans="1:11" ht="42" customHeight="1">
      <c r="A2807" s="4" t="s">
        <v>6878</v>
      </c>
      <c r="B2807" s="5" t="s">
        <v>6878</v>
      </c>
      <c r="C2807" s="5" t="s">
        <v>27</v>
      </c>
      <c r="D2807" s="5" t="s">
        <v>28</v>
      </c>
      <c r="E2807" s="5" t="s">
        <v>37</v>
      </c>
      <c r="F2807" s="9">
        <v>29</v>
      </c>
      <c r="G2807" s="9">
        <v>319</v>
      </c>
      <c r="H2807" s="5" t="s">
        <v>20</v>
      </c>
      <c r="I2807" s="5" t="s">
        <v>6879</v>
      </c>
      <c r="J2807" s="12" t="str">
        <f>HYPERLINK("https://www.boe.es/gazeta/dias/1804/04/10/pdfs/GMD-1804-29.pdf#page=9","Abrir facsímil")</f>
        <v>Abrir facsímil</v>
      </c>
      <c r="K2807" s="15" t="s">
        <v>22</v>
      </c>
    </row>
    <row r="2808" spans="1:11" ht="42" customHeight="1">
      <c r="A2808" s="4" t="s">
        <v>6880</v>
      </c>
      <c r="B2808" s="5" t="s">
        <v>6880</v>
      </c>
      <c r="C2808" s="5" t="s">
        <v>17</v>
      </c>
      <c r="D2808" s="5" t="s">
        <v>18</v>
      </c>
      <c r="E2808" s="5" t="s">
        <v>159</v>
      </c>
      <c r="F2808" s="9">
        <v>15</v>
      </c>
      <c r="G2808" s="9">
        <v>163</v>
      </c>
      <c r="H2808" s="5" t="s">
        <v>20</v>
      </c>
      <c r="I2808" s="5" t="s">
        <v>6881</v>
      </c>
      <c r="J2808" s="12" t="str">
        <f>HYPERLINK("https://www.boe.es/gazeta/dias/1804/02/21/pdfs/GMD-1804-15.pdf#page=7","Abrir facsímil")</f>
        <v>Abrir facsímil</v>
      </c>
      <c r="K2808" s="15" t="s">
        <v>22</v>
      </c>
    </row>
    <row r="2809" spans="1:11" ht="42" customHeight="1">
      <c r="A2809" s="4" t="s">
        <v>6882</v>
      </c>
      <c r="B2809" s="5" t="s">
        <v>6882</v>
      </c>
      <c r="C2809" s="5" t="s">
        <v>65</v>
      </c>
      <c r="D2809" s="5" t="s">
        <v>66</v>
      </c>
      <c r="E2809" s="5" t="s">
        <v>29</v>
      </c>
      <c r="F2809" s="9">
        <v>88</v>
      </c>
      <c r="G2809" s="9">
        <v>978</v>
      </c>
      <c r="H2809" s="5" t="s">
        <v>20</v>
      </c>
      <c r="I2809" s="5" t="s">
        <v>6883</v>
      </c>
      <c r="J2809" s="12" t="str">
        <f>HYPERLINK("https://www.boe.es/gazeta/dias/1804/11/02/pdfs/GMD-1804-88.pdf#page=10","Abrir facsímil")</f>
        <v>Abrir facsímil</v>
      </c>
      <c r="K2809" s="15" t="s">
        <v>22</v>
      </c>
    </row>
    <row r="2810" spans="1:11" ht="42" customHeight="1">
      <c r="A2810" s="4" t="s">
        <v>6884</v>
      </c>
      <c r="B2810" s="5" t="s">
        <v>6884</v>
      </c>
      <c r="C2810" s="5" t="s">
        <v>17</v>
      </c>
      <c r="D2810" s="5" t="s">
        <v>18</v>
      </c>
      <c r="E2810" s="5" t="s">
        <v>421</v>
      </c>
      <c r="F2810" s="9">
        <v>47</v>
      </c>
      <c r="G2810" s="9">
        <v>528</v>
      </c>
      <c r="H2810" s="5" t="s">
        <v>20</v>
      </c>
      <c r="I2810" s="5" t="s">
        <v>6885</v>
      </c>
      <c r="J2810" s="12" t="str">
        <f>HYPERLINK("https://www.boe.es/gazeta/dias/1804/06/12/pdfs/GMD-1804-47.pdf#page=10","Abrir facsímil")</f>
        <v>Abrir facsímil</v>
      </c>
      <c r="K2810" s="15" t="s">
        <v>22</v>
      </c>
    </row>
    <row r="2811" spans="1:11" ht="42" customHeight="1">
      <c r="A2811" s="4" t="s">
        <v>6886</v>
      </c>
      <c r="B2811" s="5" t="s">
        <v>6886</v>
      </c>
      <c r="C2811" s="5" t="s">
        <v>27</v>
      </c>
      <c r="D2811" s="5" t="s">
        <v>28</v>
      </c>
      <c r="E2811" s="5" t="s">
        <v>29</v>
      </c>
      <c r="F2811" s="9">
        <v>88</v>
      </c>
      <c r="G2811" s="9">
        <v>977</v>
      </c>
      <c r="H2811" s="5" t="s">
        <v>20</v>
      </c>
      <c r="I2811" s="5" t="s">
        <v>6887</v>
      </c>
      <c r="J2811" s="12" t="str">
        <f>HYPERLINK("https://www.boe.es/gazeta/dias/1804/11/02/pdfs/GMD-1804-88.pdf#page=9","Abrir facsímil")</f>
        <v>Abrir facsímil</v>
      </c>
      <c r="K2811" s="15" t="s">
        <v>22</v>
      </c>
    </row>
    <row r="2812" spans="1:11" ht="42" customHeight="1">
      <c r="A2812" s="4" t="s">
        <v>6888</v>
      </c>
      <c r="B2812" s="5" t="s">
        <v>6889</v>
      </c>
      <c r="C2812" s="5" t="s">
        <v>27</v>
      </c>
      <c r="D2812" s="5" t="s">
        <v>28</v>
      </c>
      <c r="E2812" s="5" t="s">
        <v>241</v>
      </c>
      <c r="F2812" s="9">
        <v>71</v>
      </c>
      <c r="G2812" s="9">
        <v>796</v>
      </c>
      <c r="H2812" s="5" t="s">
        <v>20</v>
      </c>
      <c r="I2812" s="5" t="s">
        <v>6890</v>
      </c>
      <c r="J2812" s="12" t="str">
        <f>HYPERLINK("https://www.boe.es/gazeta/dias/1804/09/04/pdfs/GMD-C-1804-71.pdf#page=2","Abrir facsímil")</f>
        <v>Abrir facsímil</v>
      </c>
      <c r="K2812" s="15" t="s">
        <v>22</v>
      </c>
    </row>
    <row r="2813" spans="1:11" ht="42" customHeight="1">
      <c r="A2813" s="4" t="s">
        <v>6891</v>
      </c>
      <c r="B2813" s="5" t="s">
        <v>6892</v>
      </c>
      <c r="C2813" s="5" t="s">
        <v>27</v>
      </c>
      <c r="D2813" s="5" t="s">
        <v>28</v>
      </c>
      <c r="E2813" s="5" t="s">
        <v>245</v>
      </c>
      <c r="F2813" s="9">
        <v>6</v>
      </c>
      <c r="G2813" s="9">
        <v>58</v>
      </c>
      <c r="H2813" s="5" t="s">
        <v>20</v>
      </c>
      <c r="I2813" s="5" t="s">
        <v>6893</v>
      </c>
      <c r="J2813" s="12" t="str">
        <f>HYPERLINK("https://www.boe.es/gazeta/dias/1804/01/20/pdfs/GMD-1804-6.pdf#page=10","Abrir facsímil")</f>
        <v>Abrir facsímil</v>
      </c>
      <c r="K2813" s="15" t="s">
        <v>22</v>
      </c>
    </row>
    <row r="2814" spans="1:11" ht="42" customHeight="1">
      <c r="A2814" s="4" t="s">
        <v>6894</v>
      </c>
      <c r="B2814" s="5" t="s">
        <v>6894</v>
      </c>
      <c r="C2814" s="5" t="s">
        <v>85</v>
      </c>
      <c r="D2814" s="5" t="s">
        <v>86</v>
      </c>
      <c r="E2814" s="5" t="s">
        <v>163</v>
      </c>
      <c r="F2814" s="9">
        <v>70</v>
      </c>
      <c r="G2814" s="9">
        <v>786</v>
      </c>
      <c r="H2814" s="5" t="s">
        <v>20</v>
      </c>
      <c r="I2814" s="5" t="s">
        <v>6895</v>
      </c>
      <c r="J2814" s="12" t="str">
        <f>HYPERLINK("https://www.boe.es/gazeta/dias/1804/08/31/pdfs/GMD-1804-70.pdf#page=8","Abrir facsímil")</f>
        <v>Abrir facsímil</v>
      </c>
      <c r="K2814" s="15" t="s">
        <v>22</v>
      </c>
    </row>
    <row r="2815" spans="1:11" ht="42" customHeight="1">
      <c r="A2815" s="4" t="s">
        <v>6896</v>
      </c>
      <c r="B2815" s="5" t="s">
        <v>6896</v>
      </c>
      <c r="C2815" s="5" t="s">
        <v>27</v>
      </c>
      <c r="D2815" s="5" t="s">
        <v>28</v>
      </c>
      <c r="E2815" s="5" t="s">
        <v>704</v>
      </c>
      <c r="F2815" s="9">
        <v>36</v>
      </c>
      <c r="G2815" s="9">
        <v>399</v>
      </c>
      <c r="H2815" s="5" t="s">
        <v>20</v>
      </c>
      <c r="I2815" s="5" t="s">
        <v>6897</v>
      </c>
      <c r="J2815" s="12" t="str">
        <f>HYPERLINK("https://www.boe.es/gazeta/dias/1804/05/04/pdfs/GMD-1804-36.pdf#page=9","Abrir facsímil")</f>
        <v>Abrir facsímil</v>
      </c>
      <c r="K2815" s="15" t="s">
        <v>22</v>
      </c>
    </row>
    <row r="2816" spans="1:11" ht="42" customHeight="1">
      <c r="A2816" s="4" t="s">
        <v>6898</v>
      </c>
      <c r="B2816" s="5" t="s">
        <v>6898</v>
      </c>
      <c r="C2816" s="5" t="s">
        <v>27</v>
      </c>
      <c r="D2816" s="5" t="s">
        <v>28</v>
      </c>
      <c r="E2816" s="5" t="s">
        <v>251</v>
      </c>
      <c r="F2816" s="9">
        <v>79</v>
      </c>
      <c r="G2816" s="9">
        <v>879</v>
      </c>
      <c r="H2816" s="5" t="s">
        <v>20</v>
      </c>
      <c r="I2816" s="5" t="s">
        <v>6899</v>
      </c>
      <c r="J2816" s="12" t="str">
        <f>HYPERLINK("https://www.boe.es/gazeta/dias/1804/10/02/pdfs/GMD-1804-79.pdf#page=9","Abrir facsímil")</f>
        <v>Abrir facsímil</v>
      </c>
      <c r="K2816" s="15" t="s">
        <v>22</v>
      </c>
    </row>
    <row r="2817" spans="1:11" ht="42" customHeight="1">
      <c r="A2817" s="4" t="s">
        <v>6900</v>
      </c>
      <c r="B2817" s="5" t="s">
        <v>6900</v>
      </c>
      <c r="C2817" s="5" t="s">
        <v>85</v>
      </c>
      <c r="D2817" s="5" t="s">
        <v>86</v>
      </c>
      <c r="E2817" s="5" t="s">
        <v>71</v>
      </c>
      <c r="F2817" s="9">
        <v>99</v>
      </c>
      <c r="G2817" s="9">
        <v>1108</v>
      </c>
      <c r="H2817" s="5" t="s">
        <v>20</v>
      </c>
      <c r="I2817" s="5" t="s">
        <v>6901</v>
      </c>
      <c r="J2817" s="12" t="str">
        <f>HYPERLINK("https://www.boe.es/gazeta/dias/1804/12/11/pdfs/GMD-1804-99.pdf#page=8","Abrir facsímil")</f>
        <v>Abrir facsímil</v>
      </c>
      <c r="K2817" s="15" t="s">
        <v>22</v>
      </c>
    </row>
    <row r="2818" spans="1:11" ht="42" customHeight="1">
      <c r="A2818" s="4" t="s">
        <v>6902</v>
      </c>
      <c r="B2818" s="5" t="s">
        <v>6902</v>
      </c>
      <c r="C2818" s="5" t="s">
        <v>65</v>
      </c>
      <c r="D2818" s="5" t="s">
        <v>66</v>
      </c>
      <c r="E2818" s="5" t="s">
        <v>709</v>
      </c>
      <c r="F2818" s="9">
        <v>82</v>
      </c>
      <c r="G2818" s="9">
        <v>906</v>
      </c>
      <c r="H2818" s="5" t="s">
        <v>20</v>
      </c>
      <c r="I2818" s="5" t="s">
        <v>6903</v>
      </c>
      <c r="J2818" s="12" t="str">
        <f>HYPERLINK("https://www.boe.es/gazeta/dias/1804/10/12/pdfs/GMD-1804-82.pdf#page=8","Abrir facsímil")</f>
        <v>Abrir facsímil</v>
      </c>
      <c r="K2818" s="15" t="s">
        <v>22</v>
      </c>
    </row>
    <row r="2819" spans="1:11" ht="42" customHeight="1">
      <c r="A2819" s="4" t="s">
        <v>6904</v>
      </c>
      <c r="B2819" s="5" t="s">
        <v>6904</v>
      </c>
      <c r="C2819" s="5" t="s">
        <v>198</v>
      </c>
      <c r="D2819" s="5" t="s">
        <v>66</v>
      </c>
      <c r="E2819" s="5" t="s">
        <v>484</v>
      </c>
      <c r="F2819" s="9">
        <v>53</v>
      </c>
      <c r="G2819" s="9">
        <v>592</v>
      </c>
      <c r="H2819" s="5" t="s">
        <v>20</v>
      </c>
      <c r="I2819" s="5" t="s">
        <v>6905</v>
      </c>
      <c r="J2819" s="12" t="str">
        <f>HYPERLINK("https://www.boe.es/gazeta/dias/1804/07/03/pdfs/GMD-1804-53.pdf#page=10","Abrir facsímil")</f>
        <v>Abrir facsímil</v>
      </c>
      <c r="K2819" s="15" t="s">
        <v>22</v>
      </c>
    </row>
    <row r="2820" spans="1:11" ht="42" customHeight="1">
      <c r="A2820" s="4" t="s">
        <v>6906</v>
      </c>
      <c r="B2820" s="5" t="s">
        <v>6906</v>
      </c>
      <c r="C2820" s="5" t="s">
        <v>17</v>
      </c>
      <c r="D2820" s="5" t="s">
        <v>18</v>
      </c>
      <c r="E2820" s="5" t="s">
        <v>54</v>
      </c>
      <c r="F2820" s="9">
        <v>63</v>
      </c>
      <c r="G2820" s="9">
        <v>700</v>
      </c>
      <c r="H2820" s="5" t="s">
        <v>20</v>
      </c>
      <c r="I2820" s="5" t="s">
        <v>6907</v>
      </c>
      <c r="J2820" s="12" t="str">
        <f>HYPERLINK("https://www.boe.es/gazeta/dias/1804/08/07/pdfs/GMD-1804-63.pdf#page=10","Abrir facsímil")</f>
        <v>Abrir facsímil</v>
      </c>
      <c r="K2820" s="15" t="s">
        <v>22</v>
      </c>
    </row>
    <row r="2821" spans="1:11" ht="42" customHeight="1">
      <c r="A2821" s="4" t="s">
        <v>6908</v>
      </c>
      <c r="B2821" s="5" t="s">
        <v>6908</v>
      </c>
      <c r="C2821" s="5" t="s">
        <v>198</v>
      </c>
      <c r="D2821" s="5" t="s">
        <v>66</v>
      </c>
      <c r="E2821" s="5" t="s">
        <v>251</v>
      </c>
      <c r="F2821" s="9">
        <v>79</v>
      </c>
      <c r="G2821" s="9">
        <v>881</v>
      </c>
      <c r="H2821" s="5" t="s">
        <v>20</v>
      </c>
      <c r="I2821" s="5" t="s">
        <v>6909</v>
      </c>
      <c r="J2821" s="12" t="str">
        <f>HYPERLINK("https://www.boe.es/gazeta/dias/1804/10/02/pdfs/GMD-1804-79.pdf#page=11","Abrir facsímil")</f>
        <v>Abrir facsímil</v>
      </c>
      <c r="K2821" s="15" t="s">
        <v>22</v>
      </c>
    </row>
    <row r="2822" spans="1:11" ht="42" customHeight="1">
      <c r="A2822" s="4" t="s">
        <v>6910</v>
      </c>
      <c r="B2822" s="5" t="s">
        <v>6910</v>
      </c>
      <c r="C2822" s="5" t="s">
        <v>65</v>
      </c>
      <c r="D2822" s="5" t="s">
        <v>66</v>
      </c>
      <c r="E2822" s="5" t="s">
        <v>81</v>
      </c>
      <c r="F2822" s="9">
        <v>98</v>
      </c>
      <c r="G2822" s="9">
        <v>1088</v>
      </c>
      <c r="H2822" s="5" t="s">
        <v>20</v>
      </c>
      <c r="I2822" s="5" t="s">
        <v>6911</v>
      </c>
      <c r="J2822" s="12" t="str">
        <f>HYPERLINK("https://www.boe.es/gazeta/dias/1804/12/07/pdfs/GMD-1804-98.pdf#page=4","Abrir facsímil")</f>
        <v>Abrir facsímil</v>
      </c>
      <c r="K2822" s="15" t="s">
        <v>22</v>
      </c>
    </row>
    <row r="2823" spans="1:11" ht="42" customHeight="1">
      <c r="A2823" s="4" t="s">
        <v>6912</v>
      </c>
      <c r="B2823" s="5" t="s">
        <v>6912</v>
      </c>
      <c r="C2823" s="5" t="s">
        <v>65</v>
      </c>
      <c r="D2823" s="5" t="s">
        <v>66</v>
      </c>
      <c r="E2823" s="5" t="s">
        <v>23</v>
      </c>
      <c r="F2823" s="9">
        <v>91</v>
      </c>
      <c r="G2823" s="9">
        <v>1009</v>
      </c>
      <c r="H2823" s="5" t="s">
        <v>20</v>
      </c>
      <c r="I2823" s="5" t="s">
        <v>6913</v>
      </c>
      <c r="J2823" s="12" t="str">
        <f>HYPERLINK("https://www.boe.es/gazeta/dias/1804/11/13/pdfs/GMD-1804-91.pdf#page=9","Abrir facsímil")</f>
        <v>Abrir facsímil</v>
      </c>
      <c r="K2823" s="15" t="s">
        <v>22</v>
      </c>
    </row>
    <row r="2824" spans="1:11" ht="42" customHeight="1">
      <c r="A2824" s="4" t="s">
        <v>6912</v>
      </c>
      <c r="B2824" s="5" t="s">
        <v>6912</v>
      </c>
      <c r="C2824" s="5" t="s">
        <v>65</v>
      </c>
      <c r="D2824" s="5" t="s">
        <v>66</v>
      </c>
      <c r="E2824" s="5" t="s">
        <v>208</v>
      </c>
      <c r="F2824" s="9">
        <v>97</v>
      </c>
      <c r="G2824" s="9">
        <v>1083</v>
      </c>
      <c r="H2824" s="5" t="s">
        <v>20</v>
      </c>
      <c r="I2824" s="5" t="s">
        <v>6914</v>
      </c>
      <c r="J2824" s="12" t="str">
        <f>HYPERLINK("https://www.boe.es/gazeta/dias/1804/12/04/pdfs/GMD-1804-97.pdf#page=11","Abrir facsímil")</f>
        <v>Abrir facsímil</v>
      </c>
      <c r="K2824" s="15" t="s">
        <v>22</v>
      </c>
    </row>
    <row r="2825" spans="1:11" ht="42" customHeight="1">
      <c r="A2825" s="4" t="s">
        <v>6915</v>
      </c>
      <c r="B2825" s="5" t="s">
        <v>6915</v>
      </c>
      <c r="C2825" s="5" t="s">
        <v>27</v>
      </c>
      <c r="D2825" s="5" t="s">
        <v>28</v>
      </c>
      <c r="E2825" s="5" t="s">
        <v>37</v>
      </c>
      <c r="F2825" s="9">
        <v>29</v>
      </c>
      <c r="G2825" s="9">
        <v>319</v>
      </c>
      <c r="H2825" s="5" t="s">
        <v>20</v>
      </c>
      <c r="I2825" s="5" t="s">
        <v>6916</v>
      </c>
      <c r="J2825" s="12" t="str">
        <f>HYPERLINK("https://www.boe.es/gazeta/dias/1804/04/10/pdfs/GMD-1804-29.pdf#page=9","Abrir facsímil")</f>
        <v>Abrir facsímil</v>
      </c>
      <c r="K2825" s="15" t="s">
        <v>22</v>
      </c>
    </row>
    <row r="2826" spans="1:11" ht="42" customHeight="1">
      <c r="A2826" s="4" t="s">
        <v>6917</v>
      </c>
      <c r="B2826" s="5" t="s">
        <v>6917</v>
      </c>
      <c r="C2826" s="5" t="s">
        <v>27</v>
      </c>
      <c r="D2826" s="5" t="s">
        <v>28</v>
      </c>
      <c r="E2826" s="5" t="s">
        <v>29</v>
      </c>
      <c r="F2826" s="9">
        <v>88</v>
      </c>
      <c r="G2826" s="9">
        <v>977</v>
      </c>
      <c r="H2826" s="5" t="s">
        <v>20</v>
      </c>
      <c r="I2826" s="5" t="s">
        <v>6918</v>
      </c>
      <c r="J2826" s="12" t="str">
        <f>HYPERLINK("https://www.boe.es/gazeta/dias/1804/11/02/pdfs/GMD-1804-88.pdf#page=9","Abrir facsímil")</f>
        <v>Abrir facsímil</v>
      </c>
      <c r="K2826" s="15" t="s">
        <v>22</v>
      </c>
    </row>
    <row r="2827" spans="1:11" ht="42" customHeight="1">
      <c r="A2827" s="4" t="s">
        <v>6919</v>
      </c>
      <c r="B2827" s="5" t="s">
        <v>6919</v>
      </c>
      <c r="C2827" s="5" t="s">
        <v>27</v>
      </c>
      <c r="D2827" s="5" t="s">
        <v>28</v>
      </c>
      <c r="E2827" s="5" t="s">
        <v>199</v>
      </c>
      <c r="F2827" s="9">
        <v>46</v>
      </c>
      <c r="G2827" s="9">
        <v>512</v>
      </c>
      <c r="H2827" s="5" t="s">
        <v>20</v>
      </c>
      <c r="I2827" s="5" t="s">
        <v>6920</v>
      </c>
      <c r="J2827" s="12" t="str">
        <f>HYPERLINK("https://www.boe.es/gazeta/dias/1804/06/08/pdfs/GMD-1804-46.pdf#page=10","Abrir facsímil")</f>
        <v>Abrir facsímil</v>
      </c>
      <c r="K2827" s="15" t="s">
        <v>22</v>
      </c>
    </row>
    <row r="2828" spans="1:11" ht="42" customHeight="1">
      <c r="A2828" s="4" t="s">
        <v>6921</v>
      </c>
      <c r="B2828" s="5" t="s">
        <v>6921</v>
      </c>
      <c r="C2828" s="5" t="s">
        <v>27</v>
      </c>
      <c r="D2828" s="5" t="s">
        <v>28</v>
      </c>
      <c r="E2828" s="5" t="s">
        <v>317</v>
      </c>
      <c r="F2828" s="9">
        <v>56</v>
      </c>
      <c r="G2828" s="9">
        <v>620</v>
      </c>
      <c r="H2828" s="5" t="s">
        <v>20</v>
      </c>
      <c r="I2828" s="5" t="s">
        <v>6922</v>
      </c>
      <c r="J2828" s="12" t="str">
        <f>HYPERLINK("https://www.boe.es/gazeta/dias/1804/07/13/pdfs/GMD-1804-56.pdf#page=6","Abrir facsímil")</f>
        <v>Abrir facsímil</v>
      </c>
      <c r="K2828" s="15" t="s">
        <v>22</v>
      </c>
    </row>
    <row r="2829" spans="1:11" ht="42" customHeight="1">
      <c r="A2829" s="4" t="s">
        <v>6923</v>
      </c>
      <c r="B2829" s="5" t="s">
        <v>6923</v>
      </c>
      <c r="C2829" s="5" t="s">
        <v>27</v>
      </c>
      <c r="D2829" s="5" t="s">
        <v>28</v>
      </c>
      <c r="E2829" s="5" t="s">
        <v>320</v>
      </c>
      <c r="F2829" s="9">
        <v>31</v>
      </c>
      <c r="G2829" s="9">
        <v>344</v>
      </c>
      <c r="H2829" s="5" t="s">
        <v>20</v>
      </c>
      <c r="I2829" s="5" t="s">
        <v>6924</v>
      </c>
      <c r="J2829" s="12" t="str">
        <f>HYPERLINK("https://www.boe.es/gazeta/dias/1804/04/17/pdfs/GMD-1804-31.pdf#page=10","Abrir facsímil")</f>
        <v>Abrir facsímil</v>
      </c>
      <c r="K2829" s="15" t="s">
        <v>22</v>
      </c>
    </row>
    <row r="2830" spans="1:11" ht="42" customHeight="1">
      <c r="A2830" s="4" t="s">
        <v>6925</v>
      </c>
      <c r="B2830" s="5" t="s">
        <v>6925</v>
      </c>
      <c r="C2830" s="5" t="s">
        <v>65</v>
      </c>
      <c r="D2830" s="5" t="s">
        <v>66</v>
      </c>
      <c r="E2830" s="5" t="s">
        <v>67</v>
      </c>
      <c r="F2830" s="9">
        <v>59</v>
      </c>
      <c r="G2830" s="9">
        <v>654</v>
      </c>
      <c r="H2830" s="5" t="s">
        <v>20</v>
      </c>
      <c r="I2830" s="5" t="s">
        <v>6926</v>
      </c>
      <c r="J2830" s="12" t="str">
        <f>HYPERLINK("https://www.boe.es/gazeta/dias/1804/07/24/pdfs/GMD-1804-59.pdf#page=8","Abrir facsímil")</f>
        <v>Abrir facsímil</v>
      </c>
      <c r="K2830" s="15" t="s">
        <v>22</v>
      </c>
    </row>
    <row r="2831" spans="1:11" ht="42" customHeight="1">
      <c r="A2831" s="4" t="s">
        <v>6925</v>
      </c>
      <c r="B2831" s="5" t="s">
        <v>6925</v>
      </c>
      <c r="C2831" s="5" t="s">
        <v>27</v>
      </c>
      <c r="D2831" s="5" t="s">
        <v>28</v>
      </c>
      <c r="E2831" s="5" t="s">
        <v>466</v>
      </c>
      <c r="F2831" s="9">
        <v>76</v>
      </c>
      <c r="G2831" s="9">
        <v>847</v>
      </c>
      <c r="H2831" s="5" t="s">
        <v>20</v>
      </c>
      <c r="I2831" s="5" t="s">
        <v>6927</v>
      </c>
      <c r="J2831" s="12" t="str">
        <f>HYPERLINK("https://www.boe.es/gazeta/dias/1804/09/21/pdfs/GMD-1804-76.pdf#page=5","Abrir facsímil")</f>
        <v>Abrir facsímil</v>
      </c>
      <c r="K2831" s="15" t="s">
        <v>22</v>
      </c>
    </row>
    <row r="2832" spans="1:11" ht="42" customHeight="1">
      <c r="A2832" s="4" t="s">
        <v>6928</v>
      </c>
      <c r="B2832" s="5" t="s">
        <v>6929</v>
      </c>
      <c r="C2832" s="5" t="s">
        <v>27</v>
      </c>
      <c r="D2832" s="5" t="s">
        <v>28</v>
      </c>
      <c r="E2832" s="5" t="s">
        <v>709</v>
      </c>
      <c r="F2832" s="9">
        <v>82</v>
      </c>
      <c r="G2832" s="9">
        <v>907</v>
      </c>
      <c r="H2832" s="5" t="s">
        <v>20</v>
      </c>
      <c r="I2832" s="5" t="s">
        <v>6930</v>
      </c>
      <c r="J2832" s="12" t="str">
        <f>HYPERLINK("https://www.boe.es/gazeta/dias/1804/10/12/pdfs/GMD-1804-82.pdf#page=9","Abrir facsímil")</f>
        <v>Abrir facsímil</v>
      </c>
      <c r="K2832" s="15" t="s">
        <v>22</v>
      </c>
    </row>
    <row r="2833" spans="1:11" ht="42" customHeight="1">
      <c r="A2833" s="4" t="s">
        <v>6931</v>
      </c>
      <c r="B2833" s="5" t="s">
        <v>6932</v>
      </c>
      <c r="C2833" s="5" t="s">
        <v>27</v>
      </c>
      <c r="D2833" s="5" t="s">
        <v>28</v>
      </c>
      <c r="E2833" s="5" t="s">
        <v>1179</v>
      </c>
      <c r="F2833" s="9">
        <v>43</v>
      </c>
      <c r="G2833" s="9">
        <v>480</v>
      </c>
      <c r="H2833" s="5" t="s">
        <v>20</v>
      </c>
      <c r="I2833" s="5" t="s">
        <v>6933</v>
      </c>
      <c r="J2833" s="12" t="str">
        <f>HYPERLINK("https://www.boe.es/gazeta/dias/1804/05/29/pdfs/GMD-1804-43.pdf#page=6","Abrir facsímil")</f>
        <v>Abrir facsímil</v>
      </c>
      <c r="K2833" s="15" t="s">
        <v>22</v>
      </c>
    </row>
    <row r="2834" spans="1:11" ht="42" customHeight="1">
      <c r="A2834" s="4" t="s">
        <v>6934</v>
      </c>
      <c r="B2834" s="5" t="s">
        <v>6934</v>
      </c>
      <c r="C2834" s="5" t="s">
        <v>27</v>
      </c>
      <c r="D2834" s="5" t="s">
        <v>28</v>
      </c>
      <c r="E2834" s="5" t="s">
        <v>623</v>
      </c>
      <c r="F2834" s="9">
        <v>51</v>
      </c>
      <c r="G2834" s="9">
        <v>561</v>
      </c>
      <c r="H2834" s="5" t="s">
        <v>20</v>
      </c>
      <c r="I2834" s="5" t="s">
        <v>6935</v>
      </c>
      <c r="J2834" s="12" t="str">
        <f>HYPERLINK("https://www.boe.es/gazeta/dias/1804/06/26/pdfs/GMD-1804-51.pdf#page=7","Abrir facsímil")</f>
        <v>Abrir facsímil</v>
      </c>
      <c r="K2834" s="15" t="s">
        <v>22</v>
      </c>
    </row>
    <row r="2835" spans="1:11" ht="42" customHeight="1">
      <c r="A2835" s="4" t="s">
        <v>6936</v>
      </c>
      <c r="B2835" s="5" t="s">
        <v>6936</v>
      </c>
      <c r="C2835" s="5" t="s">
        <v>65</v>
      </c>
      <c r="D2835" s="5" t="s">
        <v>66</v>
      </c>
      <c r="E2835" s="5" t="s">
        <v>29</v>
      </c>
      <c r="F2835" s="9">
        <v>88</v>
      </c>
      <c r="G2835" s="9">
        <v>976</v>
      </c>
      <c r="H2835" s="5" t="s">
        <v>20</v>
      </c>
      <c r="I2835" s="5" t="s">
        <v>6937</v>
      </c>
      <c r="J2835" s="12" t="str">
        <f>HYPERLINK("https://www.boe.es/gazeta/dias/1804/11/02/pdfs/GMD-1804-88.pdf#page=8","Abrir facsímil")</f>
        <v>Abrir facsímil</v>
      </c>
      <c r="K2835" s="15" t="s">
        <v>22</v>
      </c>
    </row>
    <row r="2836" spans="1:11" ht="42" customHeight="1">
      <c r="A2836" s="4" t="s">
        <v>6938</v>
      </c>
      <c r="B2836" s="5" t="s">
        <v>6939</v>
      </c>
      <c r="C2836" s="5" t="s">
        <v>27</v>
      </c>
      <c r="D2836" s="5" t="s">
        <v>28</v>
      </c>
      <c r="E2836" s="5" t="s">
        <v>308</v>
      </c>
      <c r="F2836" s="9">
        <v>96</v>
      </c>
      <c r="G2836" s="9">
        <v>1068</v>
      </c>
      <c r="H2836" s="5" t="s">
        <v>20</v>
      </c>
      <c r="I2836" s="5" t="s">
        <v>6940</v>
      </c>
      <c r="J2836" s="12" t="str">
        <f>HYPERLINK("https://www.boe.es/gazeta/dias/1804/11/30/pdfs/GMD-1804-96.pdf#page=8","Abrir facsímil")</f>
        <v>Abrir facsímil</v>
      </c>
      <c r="K2836" s="15" t="s">
        <v>22</v>
      </c>
    </row>
    <row r="2837" spans="1:11" ht="42" customHeight="1">
      <c r="A2837" s="4" t="s">
        <v>6941</v>
      </c>
      <c r="B2837" s="5" t="s">
        <v>6941</v>
      </c>
      <c r="C2837" s="5" t="s">
        <v>17</v>
      </c>
      <c r="D2837" s="5" t="s">
        <v>18</v>
      </c>
      <c r="E2837" s="5" t="s">
        <v>71</v>
      </c>
      <c r="F2837" s="9">
        <v>99</v>
      </c>
      <c r="G2837" s="9">
        <v>1107</v>
      </c>
      <c r="H2837" s="5" t="s">
        <v>20</v>
      </c>
      <c r="I2837" s="5" t="s">
        <v>6942</v>
      </c>
      <c r="J2837" s="12" t="str">
        <f>HYPERLINK("https://www.boe.es/gazeta/dias/1804/12/11/pdfs/GMD-1804-99.pdf#page=7","Abrir facsímil")</f>
        <v>Abrir facsímil</v>
      </c>
      <c r="K2837" s="15" t="s">
        <v>22</v>
      </c>
    </row>
    <row r="2838" spans="1:11" ht="42" customHeight="1">
      <c r="A2838" s="4" t="s">
        <v>6943</v>
      </c>
      <c r="B2838" s="5" t="s">
        <v>6943</v>
      </c>
      <c r="C2838" s="5" t="s">
        <v>27</v>
      </c>
      <c r="D2838" s="5" t="s">
        <v>28</v>
      </c>
      <c r="E2838" s="5" t="s">
        <v>320</v>
      </c>
      <c r="F2838" s="9">
        <v>31</v>
      </c>
      <c r="G2838" s="9">
        <v>343</v>
      </c>
      <c r="H2838" s="5" t="s">
        <v>20</v>
      </c>
      <c r="I2838" s="5" t="s">
        <v>6944</v>
      </c>
      <c r="J2838" s="12" t="str">
        <f>HYPERLINK("https://www.boe.es/gazeta/dias/1804/04/17/pdfs/GMD-1804-31.pdf#page=9","Abrir facsímil")</f>
        <v>Abrir facsímil</v>
      </c>
      <c r="K2838" s="15" t="s">
        <v>22</v>
      </c>
    </row>
    <row r="2839" spans="1:11" ht="42" customHeight="1">
      <c r="A2839" s="4" t="s">
        <v>6945</v>
      </c>
      <c r="B2839" s="5" t="s">
        <v>6945</v>
      </c>
      <c r="C2839" s="5" t="s">
        <v>27</v>
      </c>
      <c r="D2839" s="5" t="s">
        <v>28</v>
      </c>
      <c r="E2839" s="5" t="s">
        <v>264</v>
      </c>
      <c r="F2839" s="9">
        <v>49</v>
      </c>
      <c r="G2839" s="9" t="s">
        <v>6946</v>
      </c>
      <c r="H2839" s="5" t="s">
        <v>20</v>
      </c>
      <c r="I2839" s="5" t="s">
        <v>6947</v>
      </c>
      <c r="J2839" s="12" t="str">
        <f>HYPERLINK("https://www.boe.es/gazeta/dias/1804/06/19/pdfs/GMD-C-1804-49.pdf#page=10","Abrir facsímil")</f>
        <v>Abrir facsímil</v>
      </c>
      <c r="K2839" s="15" t="s">
        <v>22</v>
      </c>
    </row>
    <row r="2840" spans="1:11" ht="42" customHeight="1">
      <c r="A2840" s="4" t="s">
        <v>6948</v>
      </c>
      <c r="B2840" s="5" t="s">
        <v>6949</v>
      </c>
      <c r="C2840" s="5" t="s">
        <v>27</v>
      </c>
      <c r="D2840" s="5" t="s">
        <v>28</v>
      </c>
      <c r="E2840" s="5" t="s">
        <v>151</v>
      </c>
      <c r="F2840" s="9">
        <v>13</v>
      </c>
      <c r="G2840" s="9">
        <v>142</v>
      </c>
      <c r="H2840" s="5" t="s">
        <v>20</v>
      </c>
      <c r="I2840" s="5" t="s">
        <v>6950</v>
      </c>
      <c r="J2840" s="12" t="str">
        <f>HYPERLINK("https://www.boe.es/gazeta/dias/1804/02/14/pdfs/GMD-1804-13.pdf#page=6","Abrir facsímil")</f>
        <v>Abrir facsímil</v>
      </c>
      <c r="K2840" s="15" t="s">
        <v>22</v>
      </c>
    </row>
    <row r="2841" spans="1:11" ht="42" customHeight="1">
      <c r="A2841" s="4" t="s">
        <v>6951</v>
      </c>
      <c r="B2841" s="5" t="s">
        <v>6951</v>
      </c>
      <c r="C2841" s="5" t="s">
        <v>27</v>
      </c>
      <c r="D2841" s="5" t="s">
        <v>28</v>
      </c>
      <c r="E2841" s="5" t="s">
        <v>136</v>
      </c>
      <c r="F2841" s="9">
        <v>23</v>
      </c>
      <c r="G2841" s="9">
        <v>261</v>
      </c>
      <c r="H2841" s="5" t="s">
        <v>20</v>
      </c>
      <c r="I2841" s="5" t="s">
        <v>6952</v>
      </c>
      <c r="J2841" s="12" t="str">
        <f>HYPERLINK("https://www.boe.es/gazeta/dias/1804/03/20/pdfs/GMD-1804-23.pdf#page=7","Abrir facsímil")</f>
        <v>Abrir facsímil</v>
      </c>
      <c r="K2841" s="15" t="s">
        <v>22</v>
      </c>
    </row>
    <row r="2842" spans="1:11" ht="42" customHeight="1">
      <c r="A2842" s="4" t="s">
        <v>6951</v>
      </c>
      <c r="B2842" s="5" t="s">
        <v>6951</v>
      </c>
      <c r="C2842" s="5" t="s">
        <v>17</v>
      </c>
      <c r="D2842" s="5" t="s">
        <v>18</v>
      </c>
      <c r="E2842" s="5" t="s">
        <v>71</v>
      </c>
      <c r="F2842" s="9">
        <v>99</v>
      </c>
      <c r="G2842" s="9">
        <v>1107</v>
      </c>
      <c r="H2842" s="5" t="s">
        <v>20</v>
      </c>
      <c r="I2842" s="5" t="s">
        <v>6953</v>
      </c>
      <c r="J2842" s="12" t="str">
        <f>HYPERLINK("https://www.boe.es/gazeta/dias/1804/12/11/pdfs/GMD-1804-99.pdf#page=7","Abrir facsímil")</f>
        <v>Abrir facsímil</v>
      </c>
      <c r="K2842" s="15" t="s">
        <v>22</v>
      </c>
    </row>
    <row r="2843" spans="1:11" ht="42" customHeight="1">
      <c r="A2843" s="4" t="s">
        <v>6954</v>
      </c>
      <c r="B2843" s="5" t="s">
        <v>6954</v>
      </c>
      <c r="C2843" s="5" t="s">
        <v>27</v>
      </c>
      <c r="D2843" s="5" t="s">
        <v>28</v>
      </c>
      <c r="E2843" s="5" t="s">
        <v>515</v>
      </c>
      <c r="F2843" s="9">
        <v>102</v>
      </c>
      <c r="G2843" s="9">
        <v>1139</v>
      </c>
      <c r="H2843" s="5" t="s">
        <v>20</v>
      </c>
      <c r="I2843" s="5" t="s">
        <v>6955</v>
      </c>
      <c r="J2843" s="12" t="str">
        <f>HYPERLINK("https://www.boe.es/gazeta/dias/1804/12/21/pdfs/GMD-1804-102.pdf#page=7","Abrir facsímil")</f>
        <v>Abrir facsímil</v>
      </c>
      <c r="K2843" s="15" t="s">
        <v>22</v>
      </c>
    </row>
    <row r="2844" spans="1:11" ht="42" customHeight="1">
      <c r="A2844" s="4" t="s">
        <v>6956</v>
      </c>
      <c r="B2844" s="5" t="s">
        <v>6957</v>
      </c>
      <c r="C2844" s="5" t="s">
        <v>27</v>
      </c>
      <c r="D2844" s="5" t="s">
        <v>28</v>
      </c>
      <c r="E2844" s="5" t="s">
        <v>308</v>
      </c>
      <c r="F2844" s="9">
        <v>96</v>
      </c>
      <c r="G2844" s="9">
        <v>1067</v>
      </c>
      <c r="H2844" s="5" t="s">
        <v>20</v>
      </c>
      <c r="I2844" s="5" t="s">
        <v>6958</v>
      </c>
      <c r="J2844" s="12" t="str">
        <f>HYPERLINK("https://www.boe.es/gazeta/dias/1804/11/30/pdfs/GMD-1804-96.pdf#page=7","Abrir facsímil")</f>
        <v>Abrir facsímil</v>
      </c>
      <c r="K2844" s="15" t="s">
        <v>22</v>
      </c>
    </row>
    <row r="2845" spans="1:11" ht="42" customHeight="1">
      <c r="A2845" s="4" t="s">
        <v>6959</v>
      </c>
      <c r="B2845" s="5" t="s">
        <v>6959</v>
      </c>
      <c r="C2845" s="5" t="s">
        <v>27</v>
      </c>
      <c r="D2845" s="5" t="s">
        <v>28</v>
      </c>
      <c r="E2845" s="5" t="s">
        <v>43</v>
      </c>
      <c r="F2845" s="9">
        <v>84</v>
      </c>
      <c r="G2845" s="9">
        <v>928</v>
      </c>
      <c r="H2845" s="5" t="s">
        <v>20</v>
      </c>
      <c r="I2845" s="5" t="s">
        <v>6960</v>
      </c>
      <c r="J2845" s="12" t="str">
        <f>HYPERLINK("https://www.boe.es/gazeta/dias/1804/10/19/pdfs/GMD-1804-84.pdf#page=6","Abrir facsímil")</f>
        <v>Abrir facsímil</v>
      </c>
      <c r="K2845" s="15" t="s">
        <v>22</v>
      </c>
    </row>
    <row r="2846" spans="1:11" ht="42" customHeight="1">
      <c r="A2846" s="4" t="s">
        <v>6961</v>
      </c>
      <c r="B2846" s="5" t="s">
        <v>6962</v>
      </c>
      <c r="C2846" s="5" t="s">
        <v>65</v>
      </c>
      <c r="D2846" s="5" t="s">
        <v>66</v>
      </c>
      <c r="E2846" s="5" t="s">
        <v>77</v>
      </c>
      <c r="F2846" s="9">
        <v>32</v>
      </c>
      <c r="G2846" s="9">
        <v>356</v>
      </c>
      <c r="H2846" s="5" t="s">
        <v>20</v>
      </c>
      <c r="I2846" s="5" t="s">
        <v>6963</v>
      </c>
      <c r="J2846" s="12" t="str">
        <f>HYPERLINK("https://www.boe.es/gazeta/dias/1804/04/20/pdfs/GMD-1804-32.pdf#page=10","Abrir facsímil")</f>
        <v>Abrir facsímil</v>
      </c>
      <c r="K2846" s="15" t="s">
        <v>22</v>
      </c>
    </row>
    <row r="2847" spans="1:11" ht="42" customHeight="1">
      <c r="A2847" s="4" t="s">
        <v>6964</v>
      </c>
      <c r="B2847" s="5" t="s">
        <v>6964</v>
      </c>
      <c r="C2847" s="5" t="s">
        <v>27</v>
      </c>
      <c r="D2847" s="5" t="s">
        <v>28</v>
      </c>
      <c r="E2847" s="5" t="s">
        <v>163</v>
      </c>
      <c r="F2847" s="9">
        <v>70</v>
      </c>
      <c r="G2847" s="9">
        <v>784</v>
      </c>
      <c r="H2847" s="5" t="s">
        <v>20</v>
      </c>
      <c r="I2847" s="5" t="s">
        <v>6965</v>
      </c>
      <c r="J2847" s="12" t="str">
        <f>HYPERLINK("https://www.boe.es/gazeta/dias/1804/08/31/pdfs/GMD-1804-70.pdf#page=6","Abrir facsímil")</f>
        <v>Abrir facsímil</v>
      </c>
      <c r="K2847" s="15" t="s">
        <v>22</v>
      </c>
    </row>
    <row r="2848" spans="1:11" ht="42" customHeight="1">
      <c r="A2848" s="4" t="s">
        <v>6966</v>
      </c>
      <c r="B2848" s="5" t="s">
        <v>6966</v>
      </c>
      <c r="C2848" s="5" t="s">
        <v>65</v>
      </c>
      <c r="D2848" s="5" t="s">
        <v>66</v>
      </c>
      <c r="E2848" s="5" t="s">
        <v>1278</v>
      </c>
      <c r="F2848" s="9">
        <v>37</v>
      </c>
      <c r="G2848" s="9">
        <v>414</v>
      </c>
      <c r="H2848" s="5" t="s">
        <v>20</v>
      </c>
      <c r="I2848" s="5" t="s">
        <v>6967</v>
      </c>
      <c r="J2848" s="12" t="str">
        <f>HYPERLINK("https://www.boe.es/gazeta/dias/1804/05/08/pdfs/GMD-1804-37.pdf#page=12","Abrir facsímil")</f>
        <v>Abrir facsímil</v>
      </c>
      <c r="K2848" s="15" t="s">
        <v>22</v>
      </c>
    </row>
    <row r="2849" spans="1:11" ht="42" customHeight="1">
      <c r="A2849" s="4" t="s">
        <v>6968</v>
      </c>
      <c r="B2849" s="5" t="s">
        <v>6968</v>
      </c>
      <c r="C2849" s="5" t="s">
        <v>27</v>
      </c>
      <c r="D2849" s="5" t="s">
        <v>28</v>
      </c>
      <c r="E2849" s="5" t="s">
        <v>1020</v>
      </c>
      <c r="F2849" s="9">
        <v>103</v>
      </c>
      <c r="G2849" s="9">
        <v>1147</v>
      </c>
      <c r="H2849" s="5" t="s">
        <v>20</v>
      </c>
      <c r="I2849" s="5" t="s">
        <v>6969</v>
      </c>
      <c r="J2849" s="12" t="str">
        <f>HYPERLINK("https://www.boe.es/gazeta/dias/1804/12/25/pdfs/GMD-1804-103.pdf#page=7","Abrir facsímil")</f>
        <v>Abrir facsímil</v>
      </c>
      <c r="K2849" s="15" t="s">
        <v>22</v>
      </c>
    </row>
    <row r="2850" spans="1:11" ht="42" customHeight="1">
      <c r="A2850" s="4" t="s">
        <v>6970</v>
      </c>
      <c r="B2850" s="5" t="s">
        <v>6970</v>
      </c>
      <c r="C2850" s="5" t="s">
        <v>27</v>
      </c>
      <c r="D2850" s="5" t="s">
        <v>28</v>
      </c>
      <c r="E2850" s="5" t="s">
        <v>199</v>
      </c>
      <c r="F2850" s="9">
        <v>46</v>
      </c>
      <c r="G2850" s="9">
        <v>512</v>
      </c>
      <c r="H2850" s="5" t="s">
        <v>20</v>
      </c>
      <c r="I2850" s="5" t="s">
        <v>6971</v>
      </c>
      <c r="J2850" s="12" t="str">
        <f>HYPERLINK("https://www.boe.es/gazeta/dias/1804/06/08/pdfs/GMD-1804-46.pdf#page=10","Abrir facsímil")</f>
        <v>Abrir facsímil</v>
      </c>
      <c r="K2850" s="15" t="s">
        <v>22</v>
      </c>
    </row>
    <row r="2851" spans="1:11" ht="42" customHeight="1">
      <c r="A2851" s="4" t="s">
        <v>6972</v>
      </c>
      <c r="B2851" s="5" t="s">
        <v>6973</v>
      </c>
      <c r="C2851" s="5" t="s">
        <v>65</v>
      </c>
      <c r="D2851" s="5" t="s">
        <v>66</v>
      </c>
      <c r="E2851" s="5" t="s">
        <v>147</v>
      </c>
      <c r="F2851" s="9">
        <v>77</v>
      </c>
      <c r="G2851" s="9">
        <v>858</v>
      </c>
      <c r="H2851" s="5" t="s">
        <v>20</v>
      </c>
      <c r="I2851" s="5" t="s">
        <v>6974</v>
      </c>
      <c r="J2851" s="12" t="str">
        <f>HYPERLINK("https://www.boe.es/gazeta/dias/1804/09/25/pdfs/GMD-1804-77.pdf#page=8","Abrir facsímil")</f>
        <v>Abrir facsímil</v>
      </c>
      <c r="K2851" s="15" t="s">
        <v>22</v>
      </c>
    </row>
    <row r="2852" spans="1:11" ht="42" customHeight="1">
      <c r="A2852" s="4" t="s">
        <v>6975</v>
      </c>
      <c r="B2852" s="5" t="s">
        <v>6976</v>
      </c>
      <c r="C2852" s="5" t="s">
        <v>27</v>
      </c>
      <c r="D2852" s="5" t="s">
        <v>28</v>
      </c>
      <c r="E2852" s="5" t="s">
        <v>587</v>
      </c>
      <c r="F2852" s="9">
        <v>62</v>
      </c>
      <c r="G2852" s="9">
        <v>688</v>
      </c>
      <c r="H2852" s="5" t="s">
        <v>20</v>
      </c>
      <c r="I2852" s="5" t="s">
        <v>6977</v>
      </c>
      <c r="J2852" s="12" t="str">
        <f>HYPERLINK("https://www.boe.es/gazeta/dias/1804/08/03/pdfs/GMD-1804-62.pdf#page=10","Abrir facsímil")</f>
        <v>Abrir facsímil</v>
      </c>
      <c r="K2852" s="15" t="s">
        <v>22</v>
      </c>
    </row>
    <row r="2853" spans="1:11" ht="42" customHeight="1">
      <c r="A2853" s="4" t="s">
        <v>6978</v>
      </c>
      <c r="B2853" s="5" t="s">
        <v>6979</v>
      </c>
      <c r="C2853" s="5" t="s">
        <v>65</v>
      </c>
      <c r="D2853" s="5" t="s">
        <v>66</v>
      </c>
      <c r="E2853" s="5" t="s">
        <v>163</v>
      </c>
      <c r="F2853" s="9">
        <v>70</v>
      </c>
      <c r="G2853" s="9">
        <v>784</v>
      </c>
      <c r="H2853" s="5" t="s">
        <v>20</v>
      </c>
      <c r="I2853" s="5" t="s">
        <v>6980</v>
      </c>
      <c r="J2853" s="12" t="str">
        <f>HYPERLINK("https://www.boe.es/gazeta/dias/1804/08/31/pdfs/GMD-1804-70.pdf#page=6","Abrir facsímil")</f>
        <v>Abrir facsímil</v>
      </c>
      <c r="K2853" s="15" t="s">
        <v>22</v>
      </c>
    </row>
    <row r="2854" spans="1:11" ht="42" customHeight="1">
      <c r="A2854" s="4" t="s">
        <v>6978</v>
      </c>
      <c r="B2854" s="5" t="s">
        <v>6979</v>
      </c>
      <c r="C2854" s="5" t="s">
        <v>27</v>
      </c>
      <c r="D2854" s="5" t="s">
        <v>28</v>
      </c>
      <c r="E2854" s="5" t="s">
        <v>50</v>
      </c>
      <c r="F2854" s="9">
        <v>93</v>
      </c>
      <c r="G2854" s="9">
        <v>1031</v>
      </c>
      <c r="H2854" s="5" t="s">
        <v>20</v>
      </c>
      <c r="I2854" s="5" t="s">
        <v>6981</v>
      </c>
      <c r="J2854" s="12" t="str">
        <f>HYPERLINK("https://www.boe.es/gazeta/dias/1804/11/20/pdfs/GMD-1804-93.pdf#page=7","Abrir facsímil")</f>
        <v>Abrir facsímil</v>
      </c>
      <c r="K2854" s="15" t="s">
        <v>22</v>
      </c>
    </row>
    <row r="2855" spans="1:11" ht="42" customHeight="1">
      <c r="A2855" s="4" t="s">
        <v>6982</v>
      </c>
      <c r="B2855" s="5" t="s">
        <v>6982</v>
      </c>
      <c r="C2855" s="5" t="s">
        <v>17</v>
      </c>
      <c r="D2855" s="5" t="s">
        <v>18</v>
      </c>
      <c r="E2855" s="5" t="s">
        <v>111</v>
      </c>
      <c r="F2855" s="9">
        <v>40</v>
      </c>
      <c r="G2855" s="9">
        <v>448</v>
      </c>
      <c r="H2855" s="5" t="s">
        <v>20</v>
      </c>
      <c r="I2855" s="5" t="s">
        <v>6983</v>
      </c>
      <c r="J2855" s="12" t="str">
        <f>HYPERLINK("https://www.boe.es/gazeta/dias/1804/05/18/pdfs/GMD-1804-40.pdf#page=10","Abrir facsímil")</f>
        <v>Abrir facsímil</v>
      </c>
      <c r="K2855" s="15" t="s">
        <v>22</v>
      </c>
    </row>
    <row r="2856" spans="1:11" ht="42" customHeight="1">
      <c r="A2856" s="4" t="s">
        <v>6982</v>
      </c>
      <c r="B2856" s="5" t="s">
        <v>6982</v>
      </c>
      <c r="C2856" s="5" t="s">
        <v>65</v>
      </c>
      <c r="D2856" s="5" t="s">
        <v>66</v>
      </c>
      <c r="E2856" s="5" t="s">
        <v>111</v>
      </c>
      <c r="F2856" s="9">
        <v>40</v>
      </c>
      <c r="G2856" s="9">
        <v>449</v>
      </c>
      <c r="H2856" s="5" t="s">
        <v>20</v>
      </c>
      <c r="I2856" s="5" t="s">
        <v>6984</v>
      </c>
      <c r="J2856" s="12" t="str">
        <f>HYPERLINK("https://www.boe.es/gazeta/dias/1804/05/18/pdfs/GMD-1804-40.pdf#page=11","Abrir facsímil")</f>
        <v>Abrir facsímil</v>
      </c>
      <c r="K2856" s="15" t="s">
        <v>22</v>
      </c>
    </row>
    <row r="2857" spans="1:11" ht="42" customHeight="1">
      <c r="A2857" s="4" t="s">
        <v>6982</v>
      </c>
      <c r="B2857" s="5" t="s">
        <v>6982</v>
      </c>
      <c r="C2857" s="5" t="s">
        <v>65</v>
      </c>
      <c r="D2857" s="5" t="s">
        <v>66</v>
      </c>
      <c r="E2857" s="5" t="s">
        <v>670</v>
      </c>
      <c r="F2857" s="9">
        <v>41</v>
      </c>
      <c r="G2857" s="9">
        <v>460</v>
      </c>
      <c r="H2857" s="5" t="s">
        <v>20</v>
      </c>
      <c r="I2857" s="5" t="s">
        <v>6985</v>
      </c>
      <c r="J2857" s="12" t="str">
        <f>HYPERLINK("https://www.boe.es/gazeta/dias/1804/05/22/pdfs/GMD-1804-41.pdf#page=10","Abrir facsímil")</f>
        <v>Abrir facsímil</v>
      </c>
      <c r="K2857" s="15" t="s">
        <v>22</v>
      </c>
    </row>
    <row r="2858" spans="1:11" ht="42" customHeight="1">
      <c r="A2858" s="4" t="s">
        <v>6986</v>
      </c>
      <c r="B2858" s="5" t="s">
        <v>6986</v>
      </c>
      <c r="C2858" s="5" t="s">
        <v>17</v>
      </c>
      <c r="D2858" s="5" t="s">
        <v>18</v>
      </c>
      <c r="E2858" s="5" t="s">
        <v>147</v>
      </c>
      <c r="F2858" s="9">
        <v>77</v>
      </c>
      <c r="G2858" s="9">
        <v>857</v>
      </c>
      <c r="H2858" s="5" t="s">
        <v>20</v>
      </c>
      <c r="I2858" s="5" t="s">
        <v>6987</v>
      </c>
      <c r="J2858" s="12" t="str">
        <f>HYPERLINK("https://www.boe.es/gazeta/dias/1804/09/25/pdfs/GMD-1804-77.pdf#page=7","Abrir facsímil")</f>
        <v>Abrir facsímil</v>
      </c>
      <c r="K2858" s="15" t="s">
        <v>22</v>
      </c>
    </row>
    <row r="2859" spans="1:11" ht="42" customHeight="1">
      <c r="A2859" s="4" t="s">
        <v>6988</v>
      </c>
      <c r="B2859" s="5" t="s">
        <v>6988</v>
      </c>
      <c r="C2859" s="5" t="s">
        <v>27</v>
      </c>
      <c r="D2859" s="5" t="s">
        <v>28</v>
      </c>
      <c r="E2859" s="5" t="s">
        <v>511</v>
      </c>
      <c r="F2859" s="9">
        <v>12</v>
      </c>
      <c r="G2859" s="9">
        <v>134</v>
      </c>
      <c r="H2859" s="5" t="s">
        <v>20</v>
      </c>
      <c r="I2859" s="5" t="s">
        <v>6989</v>
      </c>
      <c r="J2859" s="12" t="str">
        <f>HYPERLINK("https://www.boe.es/gazeta/dias/1804/02/10/pdfs/GMD-1804-12.pdf#page=10","Abrir facsímil")</f>
        <v>Abrir facsímil</v>
      </c>
      <c r="K2859" s="15" t="s">
        <v>22</v>
      </c>
    </row>
    <row r="2860" spans="1:11" ht="42" customHeight="1">
      <c r="A2860" s="4" t="s">
        <v>6990</v>
      </c>
      <c r="B2860" s="5" t="s">
        <v>6991</v>
      </c>
      <c r="C2860" s="5" t="s">
        <v>27</v>
      </c>
      <c r="D2860" s="5" t="s">
        <v>28</v>
      </c>
      <c r="E2860" s="5" t="s">
        <v>704</v>
      </c>
      <c r="F2860" s="9">
        <v>36</v>
      </c>
      <c r="G2860" s="9">
        <v>399</v>
      </c>
      <c r="H2860" s="5" t="s">
        <v>20</v>
      </c>
      <c r="I2860" s="5" t="s">
        <v>6992</v>
      </c>
      <c r="J2860" s="12" t="str">
        <f>HYPERLINK("https://www.boe.es/gazeta/dias/1804/05/04/pdfs/GMD-1804-36.pdf#page=9","Abrir facsímil")</f>
        <v>Abrir facsímil</v>
      </c>
      <c r="K2860" s="15" t="s">
        <v>22</v>
      </c>
    </row>
    <row r="2861" spans="1:11" ht="42" customHeight="1">
      <c r="A2861" s="4" t="s">
        <v>6993</v>
      </c>
      <c r="B2861" s="5" t="s">
        <v>6993</v>
      </c>
      <c r="C2861" s="5" t="s">
        <v>27</v>
      </c>
      <c r="D2861" s="5" t="s">
        <v>28</v>
      </c>
      <c r="E2861" s="5" t="s">
        <v>212</v>
      </c>
      <c r="F2861" s="9">
        <v>89</v>
      </c>
      <c r="G2861" s="9">
        <v>990</v>
      </c>
      <c r="H2861" s="5" t="s">
        <v>20</v>
      </c>
      <c r="I2861" s="5" t="s">
        <v>6994</v>
      </c>
      <c r="J2861" s="12" t="str">
        <f>HYPERLINK("https://www.boe.es/gazeta/dias/1804/11/06/pdfs/GMD-1804-89.pdf#page=10","Abrir facsímil")</f>
        <v>Abrir facsímil</v>
      </c>
      <c r="K2861" s="15" t="s">
        <v>22</v>
      </c>
    </row>
    <row r="2862" spans="1:11" ht="42" customHeight="1">
      <c r="A2862" s="4" t="s">
        <v>6995</v>
      </c>
      <c r="B2862" s="5" t="s">
        <v>6995</v>
      </c>
      <c r="C2862" s="5" t="s">
        <v>27</v>
      </c>
      <c r="D2862" s="5" t="s">
        <v>28</v>
      </c>
      <c r="E2862" s="5" t="s">
        <v>67</v>
      </c>
      <c r="F2862" s="9">
        <v>59</v>
      </c>
      <c r="G2862" s="9">
        <v>653</v>
      </c>
      <c r="H2862" s="5" t="s">
        <v>20</v>
      </c>
      <c r="I2862" s="5" t="s">
        <v>6996</v>
      </c>
      <c r="J2862" s="12" t="str">
        <f>HYPERLINK("https://www.boe.es/gazeta/dias/1804/07/24/pdfs/GMD-1804-59.pdf#page=7","Abrir facsímil")</f>
        <v>Abrir facsímil</v>
      </c>
      <c r="K2862" s="15" t="s">
        <v>22</v>
      </c>
    </row>
    <row r="2863" spans="1:11" ht="42" customHeight="1">
      <c r="A2863" s="4" t="s">
        <v>6997</v>
      </c>
      <c r="B2863" s="5" t="s">
        <v>6997</v>
      </c>
      <c r="C2863" s="5" t="s">
        <v>17</v>
      </c>
      <c r="D2863" s="5" t="s">
        <v>18</v>
      </c>
      <c r="E2863" s="5" t="s">
        <v>71</v>
      </c>
      <c r="F2863" s="9">
        <v>99</v>
      </c>
      <c r="G2863" s="9">
        <v>1107</v>
      </c>
      <c r="H2863" s="5" t="s">
        <v>20</v>
      </c>
      <c r="I2863" s="5" t="s">
        <v>6998</v>
      </c>
      <c r="J2863" s="12" t="str">
        <f>HYPERLINK("https://www.boe.es/gazeta/dias/1804/12/11/pdfs/GMD-1804-99.pdf#page=7","Abrir facsímil")</f>
        <v>Abrir facsímil</v>
      </c>
      <c r="K2863" s="15" t="s">
        <v>22</v>
      </c>
    </row>
    <row r="2864" spans="1:11" ht="42" customHeight="1">
      <c r="A2864" s="4" t="s">
        <v>6999</v>
      </c>
      <c r="B2864" s="5" t="s">
        <v>7000</v>
      </c>
      <c r="C2864" s="5" t="s">
        <v>65</v>
      </c>
      <c r="D2864" s="5" t="s">
        <v>66</v>
      </c>
      <c r="E2864" s="5" t="s">
        <v>526</v>
      </c>
      <c r="F2864" s="9">
        <v>95</v>
      </c>
      <c r="G2864" s="9">
        <v>1059</v>
      </c>
      <c r="H2864" s="5" t="s">
        <v>20</v>
      </c>
      <c r="I2864" s="5" t="s">
        <v>7001</v>
      </c>
      <c r="J2864" s="12" t="str">
        <f>HYPERLINK("https://www.boe.es/gazeta/dias/1804/11/27/pdfs/GMD-1804-95.pdf#page=11","Abrir facsímil")</f>
        <v>Abrir facsímil</v>
      </c>
      <c r="K2864" s="15" t="s">
        <v>22</v>
      </c>
    </row>
    <row r="2865" spans="1:11" ht="42" customHeight="1">
      <c r="A2865" s="4" t="s">
        <v>7002</v>
      </c>
      <c r="B2865" s="5" t="s">
        <v>7002</v>
      </c>
      <c r="C2865" s="5" t="s">
        <v>27</v>
      </c>
      <c r="D2865" s="5" t="s">
        <v>28</v>
      </c>
      <c r="E2865" s="5" t="s">
        <v>91</v>
      </c>
      <c r="F2865" s="9">
        <v>72</v>
      </c>
      <c r="G2865" s="9">
        <v>806</v>
      </c>
      <c r="H2865" s="5" t="s">
        <v>20</v>
      </c>
      <c r="I2865" s="5" t="s">
        <v>7003</v>
      </c>
      <c r="J2865" s="12" t="str">
        <f>HYPERLINK("https://www.boe.es/gazeta/dias/1804/09/07/pdfs/GMD-1804-72.pdf#page=8","Abrir facsímil")</f>
        <v>Abrir facsímil</v>
      </c>
      <c r="K2865" s="15" t="s">
        <v>22</v>
      </c>
    </row>
    <row r="2866" spans="1:11" ht="42" customHeight="1">
      <c r="A2866" s="4" t="s">
        <v>7004</v>
      </c>
      <c r="B2866" s="5" t="s">
        <v>7004</v>
      </c>
      <c r="C2866" s="5" t="s">
        <v>27</v>
      </c>
      <c r="D2866" s="5" t="s">
        <v>28</v>
      </c>
      <c r="E2866" s="5" t="s">
        <v>29</v>
      </c>
      <c r="F2866" s="9">
        <v>88</v>
      </c>
      <c r="G2866" s="9">
        <v>977</v>
      </c>
      <c r="H2866" s="5" t="s">
        <v>20</v>
      </c>
      <c r="I2866" s="5" t="s">
        <v>7005</v>
      </c>
      <c r="J2866" s="12" t="str">
        <f>HYPERLINK("https://www.boe.es/gazeta/dias/1804/11/02/pdfs/GMD-1804-88.pdf#page=9","Abrir facsímil")</f>
        <v>Abrir facsímil</v>
      </c>
      <c r="K2866" s="15" t="s">
        <v>22</v>
      </c>
    </row>
    <row r="2867" spans="1:11" ht="42" customHeight="1">
      <c r="A2867" s="4" t="s">
        <v>7006</v>
      </c>
      <c r="B2867" s="5" t="s">
        <v>7006</v>
      </c>
      <c r="C2867" s="5" t="s">
        <v>17</v>
      </c>
      <c r="D2867" s="5" t="s">
        <v>18</v>
      </c>
      <c r="E2867" s="5" t="s">
        <v>111</v>
      </c>
      <c r="F2867" s="9">
        <v>40</v>
      </c>
      <c r="G2867" s="9">
        <v>447</v>
      </c>
      <c r="H2867" s="5" t="s">
        <v>20</v>
      </c>
      <c r="I2867" s="5" t="s">
        <v>7007</v>
      </c>
      <c r="J2867" s="12" t="str">
        <f>HYPERLINK("https://www.boe.es/gazeta/dias/1804/05/18/pdfs/GMD-1804-40.pdf#page=9","Abrir facsímil")</f>
        <v>Abrir facsímil</v>
      </c>
      <c r="K2867" s="15" t="s">
        <v>22</v>
      </c>
    </row>
    <row r="2868" spans="1:11" ht="42" customHeight="1">
      <c r="A2868" s="4" t="s">
        <v>7008</v>
      </c>
      <c r="B2868" s="5" t="s">
        <v>7008</v>
      </c>
      <c r="C2868" s="5" t="s">
        <v>27</v>
      </c>
      <c r="D2868" s="5" t="s">
        <v>28</v>
      </c>
      <c r="E2868" s="5" t="s">
        <v>576</v>
      </c>
      <c r="F2868" s="9">
        <v>85</v>
      </c>
      <c r="G2868" s="9">
        <v>939</v>
      </c>
      <c r="H2868" s="5" t="s">
        <v>20</v>
      </c>
      <c r="I2868" s="5" t="s">
        <v>7009</v>
      </c>
      <c r="J2868" s="12" t="str">
        <f>HYPERLINK("https://www.boe.es/gazeta/dias/1804/10/23/pdfs/GMD-1804-85.pdf#page=9","Abrir facsímil")</f>
        <v>Abrir facsímil</v>
      </c>
      <c r="K2868" s="15" t="s">
        <v>22</v>
      </c>
    </row>
    <row r="2869" spans="1:11" ht="42" customHeight="1">
      <c r="A2869" s="4" t="s">
        <v>7010</v>
      </c>
      <c r="B2869" s="5" t="s">
        <v>7010</v>
      </c>
      <c r="C2869" s="5" t="s">
        <v>85</v>
      </c>
      <c r="D2869" s="5" t="s">
        <v>86</v>
      </c>
      <c r="E2869" s="5" t="s">
        <v>350</v>
      </c>
      <c r="F2869" s="9">
        <v>19</v>
      </c>
      <c r="G2869" s="9">
        <v>212</v>
      </c>
      <c r="H2869" s="5" t="s">
        <v>20</v>
      </c>
      <c r="I2869" s="5" t="s">
        <v>7011</v>
      </c>
      <c r="J2869" s="12" t="str">
        <f>HYPERLINK("https://www.boe.es/gazeta/dias/1804/03/06/pdfs/GMD-1804-19.pdf#page=12","Abrir facsímil")</f>
        <v>Abrir facsímil</v>
      </c>
      <c r="K2869" s="15" t="s">
        <v>22</v>
      </c>
    </row>
    <row r="2870" spans="1:11" ht="42" customHeight="1">
      <c r="A2870" s="4" t="s">
        <v>7012</v>
      </c>
      <c r="B2870" s="5" t="s">
        <v>7012</v>
      </c>
      <c r="C2870" s="5" t="s">
        <v>85</v>
      </c>
      <c r="D2870" s="5" t="s">
        <v>86</v>
      </c>
      <c r="E2870" s="5" t="s">
        <v>97</v>
      </c>
      <c r="F2870" s="9">
        <v>50</v>
      </c>
      <c r="G2870" s="9">
        <v>554</v>
      </c>
      <c r="H2870" s="5" t="s">
        <v>20</v>
      </c>
      <c r="I2870" s="5" t="s">
        <v>7013</v>
      </c>
      <c r="J2870" s="12" t="str">
        <f>HYPERLINK("https://www.boe.es/gazeta/dias/1804/06/22/pdfs/GMD-1804-50.pdf#page=8","Abrir facsímil")</f>
        <v>Abrir facsímil</v>
      </c>
      <c r="K2870" s="15" t="s">
        <v>22</v>
      </c>
    </row>
    <row r="2871" spans="1:11" ht="42" customHeight="1">
      <c r="A2871" s="4" t="s">
        <v>7014</v>
      </c>
      <c r="B2871" s="5" t="s">
        <v>7014</v>
      </c>
      <c r="C2871" s="5" t="s">
        <v>27</v>
      </c>
      <c r="D2871" s="5" t="s">
        <v>28</v>
      </c>
      <c r="E2871" s="5" t="s">
        <v>77</v>
      </c>
      <c r="F2871" s="9">
        <v>32</v>
      </c>
      <c r="G2871" s="9">
        <v>356</v>
      </c>
      <c r="H2871" s="5" t="s">
        <v>20</v>
      </c>
      <c r="I2871" s="5" t="s">
        <v>7015</v>
      </c>
      <c r="J2871" s="12" t="str">
        <f>HYPERLINK("https://www.boe.es/gazeta/dias/1804/04/20/pdfs/GMD-1804-32.pdf#page=10","Abrir facsímil")</f>
        <v>Abrir facsímil</v>
      </c>
      <c r="K2871" s="15" t="s">
        <v>22</v>
      </c>
    </row>
    <row r="2872" spans="1:11" ht="42" customHeight="1">
      <c r="A2872" s="4" t="s">
        <v>7016</v>
      </c>
      <c r="B2872" s="5" t="s">
        <v>7016</v>
      </c>
      <c r="C2872" s="5" t="s">
        <v>85</v>
      </c>
      <c r="D2872" s="5" t="s">
        <v>86</v>
      </c>
      <c r="E2872" s="5" t="s">
        <v>19</v>
      </c>
      <c r="F2872" s="9">
        <v>60</v>
      </c>
      <c r="G2872" s="9">
        <v>670</v>
      </c>
      <c r="H2872" s="5" t="s">
        <v>20</v>
      </c>
      <c r="I2872" s="5" t="s">
        <v>7017</v>
      </c>
      <c r="J2872" s="12" t="str">
        <f>HYPERLINK("https://www.boe.es/gazeta/dias/1804/07/27/pdfs/GMD-1804-60.pdf#page=12","Abrir facsímil")</f>
        <v>Abrir facsímil</v>
      </c>
      <c r="K2872" s="15" t="s">
        <v>22</v>
      </c>
    </row>
    <row r="2873" spans="1:11" ht="42" customHeight="1">
      <c r="A2873" s="4" t="s">
        <v>7018</v>
      </c>
      <c r="B2873" s="5" t="s">
        <v>7019</v>
      </c>
      <c r="C2873" s="5" t="s">
        <v>27</v>
      </c>
      <c r="D2873" s="5" t="s">
        <v>28</v>
      </c>
      <c r="E2873" s="5" t="s">
        <v>67</v>
      </c>
      <c r="F2873" s="9">
        <v>59</v>
      </c>
      <c r="G2873" s="9">
        <v>653</v>
      </c>
      <c r="H2873" s="5" t="s">
        <v>20</v>
      </c>
      <c r="I2873" s="5" t="s">
        <v>7020</v>
      </c>
      <c r="J2873" s="12" t="str">
        <f>HYPERLINK("https://www.boe.es/gazeta/dias/1804/07/24/pdfs/GMD-1804-59.pdf#page=7","Abrir facsímil")</f>
        <v>Abrir facsímil</v>
      </c>
      <c r="K2873" s="15" t="s">
        <v>22</v>
      </c>
    </row>
    <row r="2874" spans="1:11" ht="42" customHeight="1">
      <c r="A2874" s="4" t="s">
        <v>7021</v>
      </c>
      <c r="B2874" s="5" t="s">
        <v>7021</v>
      </c>
      <c r="C2874" s="5" t="s">
        <v>27</v>
      </c>
      <c r="D2874" s="5" t="s">
        <v>28</v>
      </c>
      <c r="E2874" s="5" t="s">
        <v>678</v>
      </c>
      <c r="F2874" s="9">
        <v>104</v>
      </c>
      <c r="G2874" s="9">
        <v>1162</v>
      </c>
      <c r="H2874" s="5" t="s">
        <v>20</v>
      </c>
      <c r="I2874" s="5" t="s">
        <v>7022</v>
      </c>
      <c r="J2874" s="12" t="str">
        <f>HYPERLINK("https://www.boe.es/gazeta/dias/1804/12/28/pdfs/GMD-1804-104.pdf#page=10","Abrir facsímil")</f>
        <v>Abrir facsímil</v>
      </c>
      <c r="K2874" s="15" t="s">
        <v>22</v>
      </c>
    </row>
    <row r="2875" spans="1:11" ht="42" customHeight="1">
      <c r="A2875" s="4" t="s">
        <v>7023</v>
      </c>
      <c r="B2875" s="5" t="s">
        <v>7024</v>
      </c>
      <c r="C2875" s="5" t="s">
        <v>198</v>
      </c>
      <c r="D2875" s="5" t="s">
        <v>66</v>
      </c>
      <c r="E2875" s="5" t="s">
        <v>151</v>
      </c>
      <c r="F2875" s="9">
        <v>13</v>
      </c>
      <c r="G2875" s="9">
        <v>143</v>
      </c>
      <c r="H2875" s="5" t="s">
        <v>20</v>
      </c>
      <c r="I2875" s="5" t="s">
        <v>7025</v>
      </c>
      <c r="J2875" s="12" t="str">
        <f>HYPERLINK("https://www.boe.es/gazeta/dias/1804/02/14/pdfs/GMD-1804-13.pdf#page=7","Abrir facsímil")</f>
        <v>Abrir facsímil</v>
      </c>
      <c r="K2875" s="15" t="s">
        <v>22</v>
      </c>
    </row>
    <row r="2876" spans="1:11" ht="42" customHeight="1">
      <c r="A2876" s="4" t="s">
        <v>7026</v>
      </c>
      <c r="B2876" s="5" t="s">
        <v>7026</v>
      </c>
      <c r="C2876" s="5" t="s">
        <v>85</v>
      </c>
      <c r="D2876" s="5" t="s">
        <v>86</v>
      </c>
      <c r="E2876" s="5" t="s">
        <v>75</v>
      </c>
      <c r="F2876" s="9">
        <v>16</v>
      </c>
      <c r="G2876" s="9">
        <v>175</v>
      </c>
      <c r="H2876" s="5" t="s">
        <v>20</v>
      </c>
      <c r="I2876" s="5" t="s">
        <v>7027</v>
      </c>
      <c r="J2876" s="12" t="str">
        <f>HYPERLINK("https://www.boe.es/gazeta/dias/1804/02/24/pdfs/GMD-1804-16.pdf#page=11","Abrir facsímil")</f>
        <v>Abrir facsímil</v>
      </c>
      <c r="K2876" s="15" t="s">
        <v>22</v>
      </c>
    </row>
    <row r="2877" spans="1:11" ht="42" customHeight="1">
      <c r="A2877" s="4" t="s">
        <v>7028</v>
      </c>
      <c r="B2877" s="5" t="s">
        <v>7028</v>
      </c>
      <c r="C2877" s="5" t="s">
        <v>198</v>
      </c>
      <c r="D2877" s="5" t="s">
        <v>66</v>
      </c>
      <c r="E2877" s="5" t="s">
        <v>234</v>
      </c>
      <c r="F2877" s="9">
        <v>86</v>
      </c>
      <c r="G2877" s="9">
        <v>948</v>
      </c>
      <c r="H2877" s="5" t="s">
        <v>20</v>
      </c>
      <c r="I2877" s="5" t="s">
        <v>7029</v>
      </c>
      <c r="J2877" s="12" t="str">
        <f>HYPERLINK("https://www.boe.es/gazeta/dias/1804/10/26/pdfs/GMD-1804-86.pdf#page=6","Abrir facsímil")</f>
        <v>Abrir facsímil</v>
      </c>
      <c r="K2877" s="15" t="s">
        <v>22</v>
      </c>
    </row>
    <row r="2878" spans="1:11" ht="42" customHeight="1">
      <c r="A2878" s="4" t="s">
        <v>7030</v>
      </c>
      <c r="B2878" s="5" t="s">
        <v>7030</v>
      </c>
      <c r="C2878" s="5" t="s">
        <v>27</v>
      </c>
      <c r="D2878" s="5" t="s">
        <v>28</v>
      </c>
      <c r="E2878" s="5" t="s">
        <v>37</v>
      </c>
      <c r="F2878" s="9">
        <v>29</v>
      </c>
      <c r="G2878" s="9">
        <v>319</v>
      </c>
      <c r="H2878" s="5" t="s">
        <v>20</v>
      </c>
      <c r="I2878" s="5" t="s">
        <v>7031</v>
      </c>
      <c r="J2878" s="12" t="str">
        <f>HYPERLINK("https://www.boe.es/gazeta/dias/1804/04/10/pdfs/GMD-1804-29.pdf#page=9","Abrir facsímil")</f>
        <v>Abrir facsímil</v>
      </c>
      <c r="K2878" s="15" t="s">
        <v>22</v>
      </c>
    </row>
    <row r="2879" spans="1:11" ht="42" customHeight="1">
      <c r="A2879" s="4" t="s">
        <v>7032</v>
      </c>
      <c r="B2879" s="5" t="s">
        <v>7032</v>
      </c>
      <c r="C2879" s="5" t="s">
        <v>65</v>
      </c>
      <c r="D2879" s="5" t="s">
        <v>66</v>
      </c>
      <c r="E2879" s="5" t="s">
        <v>140</v>
      </c>
      <c r="F2879" s="9">
        <v>39</v>
      </c>
      <c r="G2879" s="9">
        <v>435</v>
      </c>
      <c r="H2879" s="5" t="s">
        <v>20</v>
      </c>
      <c r="I2879" s="5" t="s">
        <v>7033</v>
      </c>
      <c r="J2879" s="12" t="str">
        <f>HYPERLINK("https://www.boe.es/gazeta/dias/1804/05/15/pdfs/GMD-1804-39.pdf#page=9","Abrir facsímil")</f>
        <v>Abrir facsímil</v>
      </c>
      <c r="K2879" s="15" t="s">
        <v>22</v>
      </c>
    </row>
    <row r="2880" spans="1:11" ht="42" customHeight="1">
      <c r="A2880" s="4" t="s">
        <v>7034</v>
      </c>
      <c r="B2880" s="5" t="s">
        <v>7034</v>
      </c>
      <c r="C2880" s="5" t="s">
        <v>27</v>
      </c>
      <c r="D2880" s="5" t="s">
        <v>28</v>
      </c>
      <c r="E2880" s="5" t="s">
        <v>272</v>
      </c>
      <c r="F2880" s="9">
        <v>30</v>
      </c>
      <c r="G2880" s="9">
        <v>330</v>
      </c>
      <c r="H2880" s="5" t="s">
        <v>20</v>
      </c>
      <c r="I2880" s="5" t="s">
        <v>7035</v>
      </c>
      <c r="J2880" s="12" t="str">
        <f>HYPERLINK("https://www.boe.es/gazeta/dias/1804/04/13/pdfs/GMD-1804-30.pdf#page=8","Abrir facsímil")</f>
        <v>Abrir facsímil</v>
      </c>
      <c r="K2880" s="15" t="s">
        <v>22</v>
      </c>
    </row>
    <row r="2881" spans="1:11" ht="42" customHeight="1">
      <c r="A2881" s="4" t="s">
        <v>7036</v>
      </c>
      <c r="B2881" s="5" t="s">
        <v>7036</v>
      </c>
      <c r="C2881" s="5" t="s">
        <v>17</v>
      </c>
      <c r="D2881" s="5" t="s">
        <v>18</v>
      </c>
      <c r="E2881" s="5" t="s">
        <v>71</v>
      </c>
      <c r="F2881" s="9">
        <v>99</v>
      </c>
      <c r="G2881" s="9">
        <v>1106</v>
      </c>
      <c r="H2881" s="5" t="s">
        <v>20</v>
      </c>
      <c r="I2881" s="5" t="s">
        <v>7037</v>
      </c>
      <c r="J2881" s="12" t="str">
        <f>HYPERLINK("https://www.boe.es/gazeta/dias/1804/12/11/pdfs/GMD-1804-99.pdf#page=6","Abrir facsímil")</f>
        <v>Abrir facsímil</v>
      </c>
      <c r="K2881" s="15" t="s">
        <v>22</v>
      </c>
    </row>
    <row r="2882" spans="1:11" ht="42" customHeight="1">
      <c r="A2882" s="4" t="s">
        <v>7038</v>
      </c>
      <c r="B2882" s="5" t="s">
        <v>7038</v>
      </c>
      <c r="C2882" s="5" t="s">
        <v>27</v>
      </c>
      <c r="D2882" s="5" t="s">
        <v>28</v>
      </c>
      <c r="E2882" s="5" t="s">
        <v>109</v>
      </c>
      <c r="F2882" s="9">
        <v>35</v>
      </c>
      <c r="G2882" s="9">
        <v>387</v>
      </c>
      <c r="H2882" s="5" t="s">
        <v>20</v>
      </c>
      <c r="I2882" s="5" t="s">
        <v>7039</v>
      </c>
      <c r="J2882" s="12" t="str">
        <f>HYPERLINK("https://www.boe.es/gazeta/dias/1804/05/01/pdfs/GMD-1804-35.pdf#page=9","Abrir facsímil")</f>
        <v>Abrir facsímil</v>
      </c>
      <c r="K2882" s="15" t="s">
        <v>22</v>
      </c>
    </row>
    <row r="2883" spans="1:11" ht="42" customHeight="1">
      <c r="A2883" s="4" t="s">
        <v>7040</v>
      </c>
      <c r="B2883" s="5" t="s">
        <v>7040</v>
      </c>
      <c r="C2883" s="5" t="s">
        <v>17</v>
      </c>
      <c r="D2883" s="5" t="s">
        <v>18</v>
      </c>
      <c r="E2883" s="5" t="s">
        <v>71</v>
      </c>
      <c r="F2883" s="9">
        <v>99</v>
      </c>
      <c r="G2883" s="9">
        <v>1107</v>
      </c>
      <c r="H2883" s="5" t="s">
        <v>20</v>
      </c>
      <c r="I2883" s="5" t="s">
        <v>7041</v>
      </c>
      <c r="J2883" s="12" t="str">
        <f>HYPERLINK("https://www.boe.es/gazeta/dias/1804/12/11/pdfs/GMD-1804-99.pdf#page=7","Abrir facsímil")</f>
        <v>Abrir facsímil</v>
      </c>
      <c r="K2883" s="15" t="s">
        <v>22</v>
      </c>
    </row>
    <row r="2884" spans="1:11" ht="42" customHeight="1">
      <c r="A2884" s="4" t="s">
        <v>7042</v>
      </c>
      <c r="B2884" s="5" t="s">
        <v>7042</v>
      </c>
      <c r="C2884" s="5" t="s">
        <v>65</v>
      </c>
      <c r="D2884" s="5" t="s">
        <v>66</v>
      </c>
      <c r="E2884" s="5" t="s">
        <v>103</v>
      </c>
      <c r="F2884" s="9">
        <v>11</v>
      </c>
      <c r="G2884" s="9">
        <v>123</v>
      </c>
      <c r="H2884" s="5" t="s">
        <v>20</v>
      </c>
      <c r="I2884" s="5" t="s">
        <v>7043</v>
      </c>
      <c r="J2884" s="12" t="str">
        <f>HYPERLINK("https://www.boe.es/gazeta/dias/1804/02/07/pdfs/GMD-1804-11.pdf#page=11","Abrir facsímil")</f>
        <v>Abrir facsímil</v>
      </c>
      <c r="K2884" s="15" t="s">
        <v>22</v>
      </c>
    </row>
    <row r="2885" spans="1:11" ht="42" customHeight="1">
      <c r="A2885" s="4" t="s">
        <v>7044</v>
      </c>
      <c r="B2885" s="5" t="s">
        <v>7044</v>
      </c>
      <c r="C2885" s="5" t="s">
        <v>262</v>
      </c>
      <c r="D2885" s="5" t="s">
        <v>263</v>
      </c>
      <c r="E2885" s="5" t="s">
        <v>264</v>
      </c>
      <c r="F2885" s="9">
        <v>49</v>
      </c>
      <c r="G2885" s="9" t="s">
        <v>2111</v>
      </c>
      <c r="H2885" s="5" t="s">
        <v>20</v>
      </c>
      <c r="I2885" s="5" t="s">
        <v>7045</v>
      </c>
      <c r="J2885" s="12" t="str">
        <f>HYPERLINK("https://www.boe.es/gazeta/dias/1804/06/19/pdfs/GMD-C-1804-49.pdf#page=12","Abrir facsímil")</f>
        <v>Abrir facsímil</v>
      </c>
      <c r="K2885" s="15" t="s">
        <v>22</v>
      </c>
    </row>
    <row r="2886" spans="1:11" ht="42" customHeight="1">
      <c r="A2886" s="4" t="s">
        <v>7046</v>
      </c>
      <c r="B2886" s="5" t="s">
        <v>7046</v>
      </c>
      <c r="C2886" s="5" t="s">
        <v>262</v>
      </c>
      <c r="D2886" s="5" t="s">
        <v>263</v>
      </c>
      <c r="E2886" s="5" t="s">
        <v>264</v>
      </c>
      <c r="F2886" s="9">
        <v>49</v>
      </c>
      <c r="G2886" s="9" t="s">
        <v>2383</v>
      </c>
      <c r="H2886" s="5" t="s">
        <v>20</v>
      </c>
      <c r="I2886" s="5" t="s">
        <v>7047</v>
      </c>
      <c r="J2886" s="12" t="str">
        <f>HYPERLINK("https://www.boe.es/gazeta/dias/1804/06/19/pdfs/GMD-C-1804-49.pdf#page=6","Abrir facsímil")</f>
        <v>Abrir facsímil</v>
      </c>
      <c r="K2886" s="15" t="s">
        <v>22</v>
      </c>
    </row>
    <row r="2887" spans="1:11" ht="42" customHeight="1">
      <c r="A2887" s="4" t="s">
        <v>7048</v>
      </c>
      <c r="B2887" s="5" t="s">
        <v>7048</v>
      </c>
      <c r="C2887" s="5" t="s">
        <v>85</v>
      </c>
      <c r="D2887" s="5" t="s">
        <v>86</v>
      </c>
      <c r="E2887" s="5" t="s">
        <v>71</v>
      </c>
      <c r="F2887" s="9">
        <v>99</v>
      </c>
      <c r="G2887" s="9">
        <v>1107</v>
      </c>
      <c r="H2887" s="5" t="s">
        <v>20</v>
      </c>
      <c r="I2887" s="5" t="s">
        <v>7049</v>
      </c>
      <c r="J2887" s="12" t="str">
        <f>HYPERLINK("https://www.boe.es/gazeta/dias/1804/12/11/pdfs/GMD-1804-99.pdf#page=7","Abrir facsímil")</f>
        <v>Abrir facsímil</v>
      </c>
      <c r="K2887" s="15" t="s">
        <v>22</v>
      </c>
    </row>
    <row r="2888" spans="1:11" ht="42" customHeight="1">
      <c r="A2888" s="4" t="s">
        <v>7050</v>
      </c>
      <c r="B2888" s="5" t="s">
        <v>7050</v>
      </c>
      <c r="C2888" s="5" t="s">
        <v>17</v>
      </c>
      <c r="D2888" s="5" t="s">
        <v>18</v>
      </c>
      <c r="E2888" s="5" t="s">
        <v>71</v>
      </c>
      <c r="F2888" s="9">
        <v>99</v>
      </c>
      <c r="G2888" s="9">
        <v>1107</v>
      </c>
      <c r="H2888" s="5" t="s">
        <v>20</v>
      </c>
      <c r="I2888" s="5" t="s">
        <v>7051</v>
      </c>
      <c r="J2888" s="12" t="str">
        <f>HYPERLINK("https://www.boe.es/gazeta/dias/1804/12/11/pdfs/GMD-1804-99.pdf#page=7","Abrir facsímil")</f>
        <v>Abrir facsímil</v>
      </c>
      <c r="K2888" s="15" t="s">
        <v>22</v>
      </c>
    </row>
    <row r="2889" spans="1:11" ht="42" customHeight="1">
      <c r="A2889" s="4" t="s">
        <v>7052</v>
      </c>
      <c r="B2889" s="5" t="s">
        <v>7053</v>
      </c>
      <c r="C2889" s="5" t="s">
        <v>65</v>
      </c>
      <c r="D2889" s="5" t="s">
        <v>66</v>
      </c>
      <c r="E2889" s="5" t="s">
        <v>298</v>
      </c>
      <c r="F2889" s="9">
        <v>10</v>
      </c>
      <c r="G2889" s="9">
        <v>109</v>
      </c>
      <c r="H2889" s="5" t="s">
        <v>20</v>
      </c>
      <c r="I2889" s="5" t="s">
        <v>7054</v>
      </c>
      <c r="J2889" s="12" t="str">
        <f>HYPERLINK("https://www.boe.es/gazeta/dias/1804/02/03/pdfs/GMD-1804-10.pdf#page=9","Abrir facsímil")</f>
        <v>Abrir facsímil</v>
      </c>
      <c r="K2889" s="15" t="s">
        <v>22</v>
      </c>
    </row>
    <row r="2890" spans="1:11" ht="42" customHeight="1">
      <c r="A2890" s="4" t="s">
        <v>7055</v>
      </c>
      <c r="B2890" s="5" t="s">
        <v>7055</v>
      </c>
      <c r="C2890" s="5" t="s">
        <v>27</v>
      </c>
      <c r="D2890" s="5" t="s">
        <v>28</v>
      </c>
      <c r="E2890" s="5" t="s">
        <v>67</v>
      </c>
      <c r="F2890" s="9">
        <v>59</v>
      </c>
      <c r="G2890" s="9">
        <v>652</v>
      </c>
      <c r="H2890" s="5" t="s">
        <v>20</v>
      </c>
      <c r="I2890" s="5" t="s">
        <v>7056</v>
      </c>
      <c r="J2890" s="12" t="str">
        <f>HYPERLINK("https://www.boe.es/gazeta/dias/1804/07/24/pdfs/GMD-1804-59.pdf#page=6","Abrir facsímil")</f>
        <v>Abrir facsímil</v>
      </c>
      <c r="K2890" s="15" t="s">
        <v>22</v>
      </c>
    </row>
    <row r="2891" spans="1:11" ht="42" customHeight="1">
      <c r="A2891" s="4" t="s">
        <v>7057</v>
      </c>
      <c r="B2891" s="5" t="s">
        <v>7058</v>
      </c>
      <c r="C2891" s="5" t="s">
        <v>17</v>
      </c>
      <c r="D2891" s="5" t="s">
        <v>18</v>
      </c>
      <c r="E2891" s="5" t="s">
        <v>19</v>
      </c>
      <c r="F2891" s="9">
        <v>60</v>
      </c>
      <c r="G2891" s="9">
        <v>669</v>
      </c>
      <c r="H2891" s="5" t="s">
        <v>20</v>
      </c>
      <c r="I2891" s="5" t="s">
        <v>7059</v>
      </c>
      <c r="J2891" s="12" t="str">
        <f>HYPERLINK("https://www.boe.es/gazeta/dias/1804/07/27/pdfs/GMD-1804-60.pdf#page=11","Abrir facsímil")</f>
        <v>Abrir facsímil</v>
      </c>
      <c r="K2891" s="15" t="s">
        <v>22</v>
      </c>
    </row>
    <row r="2892" spans="1:11" ht="42" customHeight="1">
      <c r="A2892" s="4" t="s">
        <v>7060</v>
      </c>
      <c r="B2892" s="5" t="s">
        <v>7060</v>
      </c>
      <c r="C2892" s="5" t="s">
        <v>65</v>
      </c>
      <c r="D2892" s="5" t="s">
        <v>66</v>
      </c>
      <c r="E2892" s="5" t="s">
        <v>208</v>
      </c>
      <c r="F2892" s="9">
        <v>97</v>
      </c>
      <c r="G2892" s="9">
        <v>1081</v>
      </c>
      <c r="H2892" s="5" t="s">
        <v>20</v>
      </c>
      <c r="I2892" s="5" t="s">
        <v>7061</v>
      </c>
      <c r="J2892" s="12" t="str">
        <f>HYPERLINK("https://www.boe.es/gazeta/dias/1804/12/04/pdfs/GMD-1804-97.pdf#page=9","Abrir facsímil")</f>
        <v>Abrir facsímil</v>
      </c>
      <c r="K2892" s="15" t="s">
        <v>22</v>
      </c>
    </row>
    <row r="2893" spans="1:11" ht="42" customHeight="1">
      <c r="A2893" s="4" t="s">
        <v>7062</v>
      </c>
      <c r="B2893" s="5" t="s">
        <v>7062</v>
      </c>
      <c r="C2893" s="5" t="s">
        <v>27</v>
      </c>
      <c r="D2893" s="5" t="s">
        <v>28</v>
      </c>
      <c r="E2893" s="5" t="s">
        <v>67</v>
      </c>
      <c r="F2893" s="9">
        <v>59</v>
      </c>
      <c r="G2893" s="9">
        <v>653</v>
      </c>
      <c r="H2893" s="5" t="s">
        <v>20</v>
      </c>
      <c r="I2893" s="5" t="s">
        <v>7063</v>
      </c>
      <c r="J2893" s="12" t="str">
        <f>HYPERLINK("https://www.boe.es/gazeta/dias/1804/07/24/pdfs/GMD-1804-59.pdf#page=7","Abrir facsímil")</f>
        <v>Abrir facsímil</v>
      </c>
      <c r="K2893" s="15" t="s">
        <v>22</v>
      </c>
    </row>
    <row r="2894" spans="1:11" ht="42" customHeight="1">
      <c r="A2894" s="4" t="s">
        <v>7064</v>
      </c>
      <c r="B2894" s="5" t="s">
        <v>7064</v>
      </c>
      <c r="C2894" s="5" t="s">
        <v>17</v>
      </c>
      <c r="D2894" s="5" t="s">
        <v>18</v>
      </c>
      <c r="E2894" s="5" t="s">
        <v>466</v>
      </c>
      <c r="F2894" s="9">
        <v>76</v>
      </c>
      <c r="G2894" s="9">
        <v>846</v>
      </c>
      <c r="H2894" s="5" t="s">
        <v>20</v>
      </c>
      <c r="I2894" s="5" t="s">
        <v>7065</v>
      </c>
      <c r="J2894" s="12" t="str">
        <f>HYPERLINK("https://www.boe.es/gazeta/dias/1804/09/21/pdfs/GMD-1804-76.pdf#page=4","Abrir facsímil")</f>
        <v>Abrir facsímil</v>
      </c>
      <c r="K2894" s="15" t="s">
        <v>22</v>
      </c>
    </row>
    <row r="2895" spans="1:11" ht="42" customHeight="1">
      <c r="A2895" s="4" t="s">
        <v>7066</v>
      </c>
      <c r="B2895" s="5" t="s">
        <v>7066</v>
      </c>
      <c r="C2895" s="5" t="s">
        <v>27</v>
      </c>
      <c r="D2895" s="5" t="s">
        <v>28</v>
      </c>
      <c r="E2895" s="5" t="s">
        <v>103</v>
      </c>
      <c r="F2895" s="9">
        <v>11</v>
      </c>
      <c r="G2895" s="9">
        <v>123</v>
      </c>
      <c r="H2895" s="5" t="s">
        <v>20</v>
      </c>
      <c r="I2895" s="5" t="s">
        <v>7067</v>
      </c>
      <c r="J2895" s="12" t="str">
        <f>HYPERLINK("https://www.boe.es/gazeta/dias/1804/02/07/pdfs/GMD-1804-11.pdf#page=11","Abrir facsímil")</f>
        <v>Abrir facsímil</v>
      </c>
      <c r="K2895" s="15" t="s">
        <v>22</v>
      </c>
    </row>
    <row r="2896" spans="1:11" ht="42" customHeight="1">
      <c r="A2896" s="4" t="s">
        <v>7068</v>
      </c>
      <c r="B2896" s="5" t="s">
        <v>7068</v>
      </c>
      <c r="C2896" s="5" t="s">
        <v>65</v>
      </c>
      <c r="D2896" s="5" t="s">
        <v>66</v>
      </c>
      <c r="E2896" s="5" t="s">
        <v>339</v>
      </c>
      <c r="F2896" s="9">
        <v>94</v>
      </c>
      <c r="G2896" s="9">
        <v>1038</v>
      </c>
      <c r="H2896" s="5" t="s">
        <v>20</v>
      </c>
      <c r="I2896" s="5" t="s">
        <v>7069</v>
      </c>
      <c r="J2896" s="12" t="str">
        <f>HYPERLINK("https://www.boe.es/gazeta/dias/1804/11/23/pdfs/GMD-1804-94.pdf#page=6","Abrir facsímil")</f>
        <v>Abrir facsímil</v>
      </c>
      <c r="K2896" s="15" t="s">
        <v>22</v>
      </c>
    </row>
    <row r="2897" spans="1:11" ht="42" customHeight="1">
      <c r="A2897" s="4" t="s">
        <v>7070</v>
      </c>
      <c r="B2897" s="5" t="s">
        <v>7070</v>
      </c>
      <c r="C2897" s="5" t="s">
        <v>27</v>
      </c>
      <c r="D2897" s="5" t="s">
        <v>28</v>
      </c>
      <c r="E2897" s="5" t="s">
        <v>77</v>
      </c>
      <c r="F2897" s="9">
        <v>32</v>
      </c>
      <c r="G2897" s="9">
        <v>356</v>
      </c>
      <c r="H2897" s="5" t="s">
        <v>20</v>
      </c>
      <c r="I2897" s="5" t="s">
        <v>7071</v>
      </c>
      <c r="J2897" s="12" t="str">
        <f>HYPERLINK("https://www.boe.es/gazeta/dias/1804/04/20/pdfs/GMD-1804-32.pdf#page=10","Abrir facsímil")</f>
        <v>Abrir facsímil</v>
      </c>
      <c r="K2897" s="15" t="s">
        <v>22</v>
      </c>
    </row>
    <row r="2898" spans="1:11" ht="42" customHeight="1">
      <c r="A2898" s="4" t="s">
        <v>7072</v>
      </c>
      <c r="B2898" s="5" t="s">
        <v>7072</v>
      </c>
      <c r="C2898" s="5" t="s">
        <v>27</v>
      </c>
      <c r="D2898" s="5" t="s">
        <v>28</v>
      </c>
      <c r="E2898" s="5" t="s">
        <v>320</v>
      </c>
      <c r="F2898" s="9">
        <v>31</v>
      </c>
      <c r="G2898" s="9">
        <v>343</v>
      </c>
      <c r="H2898" s="5" t="s">
        <v>20</v>
      </c>
      <c r="I2898" s="5" t="s">
        <v>7073</v>
      </c>
      <c r="J2898" s="12" t="str">
        <f>HYPERLINK("https://www.boe.es/gazeta/dias/1804/04/17/pdfs/GMD-1804-31.pdf#page=9","Abrir facsímil")</f>
        <v>Abrir facsímil</v>
      </c>
      <c r="K2898" s="15" t="s">
        <v>22</v>
      </c>
    </row>
    <row r="2899" spans="1:11" ht="42" customHeight="1">
      <c r="A2899" s="4" t="s">
        <v>7074</v>
      </c>
      <c r="B2899" s="5" t="s">
        <v>7074</v>
      </c>
      <c r="C2899" s="5" t="s">
        <v>27</v>
      </c>
      <c r="D2899" s="5" t="s">
        <v>28</v>
      </c>
      <c r="E2899" s="5" t="s">
        <v>97</v>
      </c>
      <c r="F2899" s="9">
        <v>50</v>
      </c>
      <c r="G2899" s="9">
        <v>552</v>
      </c>
      <c r="H2899" s="5" t="s">
        <v>20</v>
      </c>
      <c r="I2899" s="5" t="s">
        <v>7075</v>
      </c>
      <c r="J2899" s="12" t="str">
        <f>HYPERLINK("https://www.boe.es/gazeta/dias/1804/06/22/pdfs/GMD-1804-50.pdf#page=6","Abrir facsímil")</f>
        <v>Abrir facsímil</v>
      </c>
      <c r="K2899" s="15" t="s">
        <v>22</v>
      </c>
    </row>
    <row r="2900" spans="1:11" ht="42" customHeight="1">
      <c r="A2900" s="4" t="s">
        <v>7076</v>
      </c>
      <c r="B2900" s="5" t="s">
        <v>7076</v>
      </c>
      <c r="C2900" s="5" t="s">
        <v>17</v>
      </c>
      <c r="D2900" s="5" t="s">
        <v>18</v>
      </c>
      <c r="E2900" s="5" t="s">
        <v>81</v>
      </c>
      <c r="F2900" s="9">
        <v>98</v>
      </c>
      <c r="G2900" s="9">
        <v>1089</v>
      </c>
      <c r="H2900" s="5" t="s">
        <v>20</v>
      </c>
      <c r="I2900" s="5" t="s">
        <v>7077</v>
      </c>
      <c r="J2900" s="12" t="str">
        <f>HYPERLINK("https://www.boe.es/gazeta/dias/1804/12/07/pdfs/GMD-1804-98.pdf#page=5","Abrir facsímil")</f>
        <v>Abrir facsímil</v>
      </c>
      <c r="K2900" s="15" t="s">
        <v>22</v>
      </c>
    </row>
    <row r="2901" spans="1:11" ht="42" customHeight="1">
      <c r="A2901" s="4" t="s">
        <v>7078</v>
      </c>
      <c r="B2901" s="5" t="s">
        <v>7078</v>
      </c>
      <c r="C2901" s="5" t="s">
        <v>65</v>
      </c>
      <c r="D2901" s="5" t="s">
        <v>66</v>
      </c>
      <c r="E2901" s="5" t="s">
        <v>163</v>
      </c>
      <c r="F2901" s="9">
        <v>70</v>
      </c>
      <c r="G2901" s="9">
        <v>784</v>
      </c>
      <c r="H2901" s="5" t="s">
        <v>20</v>
      </c>
      <c r="I2901" s="5" t="s">
        <v>7079</v>
      </c>
      <c r="J2901" s="12" t="str">
        <f>HYPERLINK("https://www.boe.es/gazeta/dias/1804/08/31/pdfs/GMD-1804-70.pdf#page=6","Abrir facsímil")</f>
        <v>Abrir facsímil</v>
      </c>
      <c r="K2901" s="15" t="s">
        <v>22</v>
      </c>
    </row>
    <row r="2902" spans="1:11" ht="42" customHeight="1">
      <c r="A2902" s="4" t="s">
        <v>7080</v>
      </c>
      <c r="B2902" s="5" t="s">
        <v>7080</v>
      </c>
      <c r="C2902" s="5" t="s">
        <v>27</v>
      </c>
      <c r="D2902" s="5" t="s">
        <v>28</v>
      </c>
      <c r="E2902" s="5" t="s">
        <v>136</v>
      </c>
      <c r="F2902" s="9">
        <v>23</v>
      </c>
      <c r="G2902" s="9">
        <v>261</v>
      </c>
      <c r="H2902" s="5" t="s">
        <v>20</v>
      </c>
      <c r="I2902" s="5" t="s">
        <v>7081</v>
      </c>
      <c r="J2902" s="12" t="str">
        <f>HYPERLINK("https://www.boe.es/gazeta/dias/1804/03/20/pdfs/GMD-1804-23.pdf#page=7","Abrir facsímil")</f>
        <v>Abrir facsímil</v>
      </c>
      <c r="K2902" s="15" t="s">
        <v>22</v>
      </c>
    </row>
    <row r="2903" spans="1:11" ht="42" customHeight="1">
      <c r="A2903" s="4" t="s">
        <v>7082</v>
      </c>
      <c r="B2903" s="5" t="s">
        <v>7082</v>
      </c>
      <c r="C2903" s="5" t="s">
        <v>120</v>
      </c>
      <c r="D2903" s="5" t="s">
        <v>121</v>
      </c>
      <c r="E2903" s="5" t="s">
        <v>33</v>
      </c>
      <c r="F2903" s="9">
        <v>48</v>
      </c>
      <c r="G2903" s="9" t="s">
        <v>98</v>
      </c>
      <c r="H2903" s="5" t="s">
        <v>20</v>
      </c>
      <c r="I2903" s="5" t="s">
        <v>7083</v>
      </c>
      <c r="J2903" s="12" t="str">
        <f>HYPERLINK("https://www.boe.es/gazeta/dias/1804/06/15/pdfs/GMD-C-1804-48.pdf#page=1","Abrir facsímil")</f>
        <v>Abrir facsímil</v>
      </c>
      <c r="K2903" s="15" t="s">
        <v>22</v>
      </c>
    </row>
    <row r="2904" spans="1:11" ht="42" customHeight="1">
      <c r="A2904" s="4" t="s">
        <v>7084</v>
      </c>
      <c r="B2904" s="5" t="s">
        <v>7084</v>
      </c>
      <c r="C2904" s="5" t="s">
        <v>27</v>
      </c>
      <c r="D2904" s="5" t="s">
        <v>28</v>
      </c>
      <c r="E2904" s="5" t="s">
        <v>576</v>
      </c>
      <c r="F2904" s="9">
        <v>85</v>
      </c>
      <c r="G2904" s="9">
        <v>939</v>
      </c>
      <c r="H2904" s="5" t="s">
        <v>20</v>
      </c>
      <c r="I2904" s="5" t="s">
        <v>7085</v>
      </c>
      <c r="J2904" s="12" t="str">
        <f>HYPERLINK("https://www.boe.es/gazeta/dias/1804/10/23/pdfs/GMD-1804-85.pdf#page=9","Abrir facsímil")</f>
        <v>Abrir facsímil</v>
      </c>
      <c r="K2904" s="15" t="s">
        <v>22</v>
      </c>
    </row>
    <row r="2905" spans="1:11" ht="42" customHeight="1">
      <c r="A2905" s="4" t="s">
        <v>7086</v>
      </c>
      <c r="B2905" s="5" t="s">
        <v>7086</v>
      </c>
      <c r="C2905" s="5" t="s">
        <v>27</v>
      </c>
      <c r="D2905" s="5" t="s">
        <v>28</v>
      </c>
      <c r="E2905" s="5" t="s">
        <v>191</v>
      </c>
      <c r="F2905" s="9">
        <v>101</v>
      </c>
      <c r="G2905" s="9">
        <v>1128</v>
      </c>
      <c r="H2905" s="5" t="s">
        <v>20</v>
      </c>
      <c r="I2905" s="5" t="s">
        <v>7087</v>
      </c>
      <c r="J2905" s="12" t="str">
        <f>HYPERLINK("https://www.boe.es/gazeta/dias/1804/12/18/pdfs/GMD-1804-101.pdf#page=8","Abrir facsímil")</f>
        <v>Abrir facsímil</v>
      </c>
      <c r="K2905" s="15" t="s">
        <v>22</v>
      </c>
    </row>
    <row r="2906" spans="1:11" ht="42" customHeight="1">
      <c r="A2906" s="4" t="s">
        <v>7088</v>
      </c>
      <c r="B2906" s="5" t="s">
        <v>7088</v>
      </c>
      <c r="C2906" s="5" t="s">
        <v>65</v>
      </c>
      <c r="D2906" s="5" t="s">
        <v>66</v>
      </c>
      <c r="E2906" s="5" t="s">
        <v>216</v>
      </c>
      <c r="F2906" s="9">
        <v>67</v>
      </c>
      <c r="G2906" s="9">
        <v>750</v>
      </c>
      <c r="H2906" s="5" t="s">
        <v>20</v>
      </c>
      <c r="I2906" s="5" t="s">
        <v>7089</v>
      </c>
      <c r="J2906" s="12" t="str">
        <f>HYPERLINK("https://www.boe.es/gazeta/dias/1804/08/21/pdfs/GMD-1804-67.pdf#page=8","Abrir facsímil")</f>
        <v>Abrir facsímil</v>
      </c>
      <c r="K2906" s="15" t="s">
        <v>22</v>
      </c>
    </row>
    <row r="2907" spans="1:11" ht="42" customHeight="1">
      <c r="A2907" s="4" t="s">
        <v>7090</v>
      </c>
      <c r="B2907" s="5" t="s">
        <v>7090</v>
      </c>
      <c r="C2907" s="5" t="s">
        <v>65</v>
      </c>
      <c r="D2907" s="5" t="s">
        <v>66</v>
      </c>
      <c r="E2907" s="5" t="s">
        <v>163</v>
      </c>
      <c r="F2907" s="9">
        <v>70</v>
      </c>
      <c r="G2907" s="9">
        <v>784</v>
      </c>
      <c r="H2907" s="5" t="s">
        <v>20</v>
      </c>
      <c r="I2907" s="5" t="s">
        <v>7091</v>
      </c>
      <c r="J2907" s="12" t="str">
        <f>HYPERLINK("https://www.boe.es/gazeta/dias/1804/08/31/pdfs/GMD-1804-70.pdf#page=6","Abrir facsímil")</f>
        <v>Abrir facsímil</v>
      </c>
      <c r="K2907" s="15" t="s">
        <v>22</v>
      </c>
    </row>
    <row r="2908" spans="1:11" ht="42" customHeight="1">
      <c r="A2908" s="4" t="s">
        <v>7092</v>
      </c>
      <c r="B2908" s="5" t="s">
        <v>7092</v>
      </c>
      <c r="C2908" s="5" t="s">
        <v>27</v>
      </c>
      <c r="D2908" s="5" t="s">
        <v>28</v>
      </c>
      <c r="E2908" s="5" t="s">
        <v>453</v>
      </c>
      <c r="F2908" s="9">
        <v>33</v>
      </c>
      <c r="G2908" s="9">
        <v>366</v>
      </c>
      <c r="H2908" s="5" t="s">
        <v>20</v>
      </c>
      <c r="I2908" s="5" t="s">
        <v>7093</v>
      </c>
      <c r="J2908" s="12" t="str">
        <f>HYPERLINK("https://www.boe.es/gazeta/dias/1804/04/24/pdfs/GMD-1804-33.pdf#page=8","Abrir facsímil")</f>
        <v>Abrir facsímil</v>
      </c>
      <c r="K2908" s="15" t="s">
        <v>22</v>
      </c>
    </row>
    <row r="2909" spans="1:11" ht="42" customHeight="1">
      <c r="A2909" s="4" t="s">
        <v>7094</v>
      </c>
      <c r="B2909" s="5" t="s">
        <v>7094</v>
      </c>
      <c r="C2909" s="5" t="s">
        <v>17</v>
      </c>
      <c r="D2909" s="5" t="s">
        <v>18</v>
      </c>
      <c r="E2909" s="5" t="s">
        <v>47</v>
      </c>
      <c r="F2909" s="9">
        <v>78</v>
      </c>
      <c r="G2909" s="9">
        <v>870</v>
      </c>
      <c r="H2909" s="5" t="s">
        <v>20</v>
      </c>
      <c r="I2909" s="5" t="s">
        <v>7095</v>
      </c>
      <c r="J2909" s="12" t="str">
        <f>HYPERLINK("https://www.boe.es/gazeta/dias/1804/09/28/pdfs/GMD-1804-78.pdf#page=8","Abrir facsímil")</f>
        <v>Abrir facsímil</v>
      </c>
      <c r="K2909" s="15" t="s">
        <v>22</v>
      </c>
    </row>
    <row r="2910" spans="1:11" ht="42" customHeight="1">
      <c r="A2910" s="4" t="s">
        <v>7094</v>
      </c>
      <c r="B2910" s="5" t="s">
        <v>7094</v>
      </c>
      <c r="C2910" s="5" t="s">
        <v>17</v>
      </c>
      <c r="D2910" s="5" t="s">
        <v>18</v>
      </c>
      <c r="E2910" s="5" t="s">
        <v>251</v>
      </c>
      <c r="F2910" s="9">
        <v>79</v>
      </c>
      <c r="G2910" s="9">
        <v>881</v>
      </c>
      <c r="H2910" s="5" t="s">
        <v>20</v>
      </c>
      <c r="I2910" s="5" t="s">
        <v>7096</v>
      </c>
      <c r="J2910" s="12" t="str">
        <f>HYPERLINK("https://www.boe.es/gazeta/dias/1804/10/02/pdfs/GMD-1804-79.pdf#page=11","Abrir facsímil")</f>
        <v>Abrir facsímil</v>
      </c>
      <c r="K2910" s="15" t="s">
        <v>22</v>
      </c>
    </row>
    <row r="2911" spans="1:11" ht="42" customHeight="1">
      <c r="A2911" s="4" t="s">
        <v>7094</v>
      </c>
      <c r="B2911" s="5" t="s">
        <v>7094</v>
      </c>
      <c r="C2911" s="5" t="s">
        <v>27</v>
      </c>
      <c r="D2911" s="5" t="s">
        <v>28</v>
      </c>
      <c r="E2911" s="5" t="s">
        <v>360</v>
      </c>
      <c r="F2911" s="9">
        <v>81</v>
      </c>
      <c r="G2911" s="9">
        <v>897</v>
      </c>
      <c r="H2911" s="5" t="s">
        <v>20</v>
      </c>
      <c r="I2911" s="5" t="s">
        <v>7097</v>
      </c>
      <c r="J2911" s="12" t="str">
        <f>HYPERLINK("https://www.boe.es/gazeta/dias/1804/10/09/pdfs/GMD-1804-81.pdf#page=7","Abrir facsímil")</f>
        <v>Abrir facsímil</v>
      </c>
      <c r="K2911" s="15" t="s">
        <v>22</v>
      </c>
    </row>
    <row r="2912" spans="1:11" ht="42" customHeight="1">
      <c r="A2912" s="4" t="s">
        <v>7098</v>
      </c>
      <c r="B2912" s="5" t="s">
        <v>7098</v>
      </c>
      <c r="C2912" s="5" t="s">
        <v>27</v>
      </c>
      <c r="D2912" s="5" t="s">
        <v>28</v>
      </c>
      <c r="E2912" s="5" t="s">
        <v>490</v>
      </c>
      <c r="F2912" s="9">
        <v>100</v>
      </c>
      <c r="G2912" s="9">
        <v>1119</v>
      </c>
      <c r="H2912" s="5" t="s">
        <v>20</v>
      </c>
      <c r="I2912" s="5" t="s">
        <v>7099</v>
      </c>
      <c r="J2912" s="12" t="str">
        <f>HYPERLINK("https://www.boe.es/gazeta/dias/1804/12/14/pdfs/GMD-1804-100.pdf#page=11","Abrir facsímil")</f>
        <v>Abrir facsímil</v>
      </c>
      <c r="K2912" s="15" t="s">
        <v>22</v>
      </c>
    </row>
    <row r="2913" spans="1:11" ht="42" customHeight="1">
      <c r="A2913" s="4" t="s">
        <v>7100</v>
      </c>
      <c r="B2913" s="5" t="s">
        <v>7100</v>
      </c>
      <c r="C2913" s="5" t="s">
        <v>27</v>
      </c>
      <c r="D2913" s="5" t="s">
        <v>28</v>
      </c>
      <c r="E2913" s="5" t="s">
        <v>199</v>
      </c>
      <c r="F2913" s="9">
        <v>46</v>
      </c>
      <c r="G2913" s="9">
        <v>511</v>
      </c>
      <c r="H2913" s="5" t="s">
        <v>20</v>
      </c>
      <c r="I2913" s="5" t="s">
        <v>7101</v>
      </c>
      <c r="J2913" s="12" t="str">
        <f>HYPERLINK("https://www.boe.es/gazeta/dias/1804/06/08/pdfs/GMD-1804-46.pdf#page=9","Abrir facsímil")</f>
        <v>Abrir facsímil</v>
      </c>
      <c r="K2913" s="15" t="s">
        <v>22</v>
      </c>
    </row>
    <row r="2914" spans="1:11" ht="42" customHeight="1">
      <c r="A2914" s="4" t="s">
        <v>7102</v>
      </c>
      <c r="B2914" s="5" t="s">
        <v>7102</v>
      </c>
      <c r="C2914" s="5" t="s">
        <v>85</v>
      </c>
      <c r="D2914" s="5" t="s">
        <v>86</v>
      </c>
      <c r="E2914" s="5" t="s">
        <v>226</v>
      </c>
      <c r="F2914" s="9">
        <v>17</v>
      </c>
      <c r="G2914" s="9" t="s">
        <v>819</v>
      </c>
      <c r="H2914" s="5" t="s">
        <v>20</v>
      </c>
      <c r="I2914" s="5" t="s">
        <v>7103</v>
      </c>
      <c r="J2914" s="12" t="str">
        <f>HYPERLINK("https://www.boe.es/gazeta/dias/1804/02/28/pdfs/GMD-C-1804-17.pdf#page=4","Abrir facsímil")</f>
        <v>Abrir facsímil</v>
      </c>
      <c r="K2914" s="15" t="s">
        <v>22</v>
      </c>
    </row>
    <row r="2915" spans="1:11" ht="42" customHeight="1">
      <c r="A2915" s="4" t="s">
        <v>7102</v>
      </c>
      <c r="B2915" s="5" t="s">
        <v>7102</v>
      </c>
      <c r="C2915" s="5" t="s">
        <v>85</v>
      </c>
      <c r="D2915" s="5" t="s">
        <v>86</v>
      </c>
      <c r="E2915" s="5" t="s">
        <v>466</v>
      </c>
      <c r="F2915" s="9">
        <v>76</v>
      </c>
      <c r="G2915" s="9">
        <v>850</v>
      </c>
      <c r="H2915" s="5" t="s">
        <v>20</v>
      </c>
      <c r="I2915" s="5" t="s">
        <v>7104</v>
      </c>
      <c r="J2915" s="12" t="str">
        <f>HYPERLINK("https://www.boe.es/gazeta/dias/1804/09/21/pdfs/GMD-1804-76.pdf#page=8","Abrir facsímil")</f>
        <v>Abrir facsímil</v>
      </c>
      <c r="K2915" s="15" t="s">
        <v>22</v>
      </c>
    </row>
    <row r="2916" spans="1:11" ht="42" customHeight="1">
      <c r="A2916" s="4" t="s">
        <v>7105</v>
      </c>
      <c r="B2916" s="5" t="s">
        <v>7105</v>
      </c>
      <c r="C2916" s="5" t="s">
        <v>27</v>
      </c>
      <c r="D2916" s="5" t="s">
        <v>28</v>
      </c>
      <c r="E2916" s="5" t="s">
        <v>67</v>
      </c>
      <c r="F2916" s="9">
        <v>59</v>
      </c>
      <c r="G2916" s="9">
        <v>652</v>
      </c>
      <c r="H2916" s="5" t="s">
        <v>20</v>
      </c>
      <c r="I2916" s="5" t="s">
        <v>7106</v>
      </c>
      <c r="J2916" s="12" t="str">
        <f>HYPERLINK("https://www.boe.es/gazeta/dias/1804/07/24/pdfs/GMD-1804-59.pdf#page=6","Abrir facsímil")</f>
        <v>Abrir facsímil</v>
      </c>
      <c r="K2916" s="15" t="s">
        <v>22</v>
      </c>
    </row>
    <row r="2917" spans="1:11" ht="42" customHeight="1">
      <c r="A2917" s="4" t="s">
        <v>7107</v>
      </c>
      <c r="B2917" s="5" t="s">
        <v>7107</v>
      </c>
      <c r="C2917" s="5" t="s">
        <v>27</v>
      </c>
      <c r="D2917" s="5" t="s">
        <v>28</v>
      </c>
      <c r="E2917" s="5" t="s">
        <v>398</v>
      </c>
      <c r="F2917" s="9">
        <v>22</v>
      </c>
      <c r="G2917" s="9">
        <v>244</v>
      </c>
      <c r="H2917" s="5" t="s">
        <v>20</v>
      </c>
      <c r="I2917" s="5" t="s">
        <v>7108</v>
      </c>
      <c r="J2917" s="12" t="str">
        <f>HYPERLINK("https://www.boe.es/gazeta/dias/1804/03/16/pdfs/GMD-1804-22.pdf#page=8","Abrir facsímil")</f>
        <v>Abrir facsímil</v>
      </c>
      <c r="K2917" s="15" t="s">
        <v>22</v>
      </c>
    </row>
    <row r="2918" spans="1:11" ht="42" customHeight="1">
      <c r="A2918" s="4" t="s">
        <v>7109</v>
      </c>
      <c r="B2918" s="5" t="s">
        <v>7109</v>
      </c>
      <c r="C2918" s="5" t="s">
        <v>27</v>
      </c>
      <c r="D2918" s="5" t="s">
        <v>28</v>
      </c>
      <c r="E2918" s="5" t="s">
        <v>320</v>
      </c>
      <c r="F2918" s="9">
        <v>31</v>
      </c>
      <c r="G2918" s="9">
        <v>344</v>
      </c>
      <c r="H2918" s="5" t="s">
        <v>20</v>
      </c>
      <c r="I2918" s="5" t="s">
        <v>7110</v>
      </c>
      <c r="J2918" s="12" t="str">
        <f>HYPERLINK("https://www.boe.es/gazeta/dias/1804/04/17/pdfs/GMD-1804-31.pdf#page=10","Abrir facsímil")</f>
        <v>Abrir facsímil</v>
      </c>
      <c r="K2918" s="15" t="s">
        <v>22</v>
      </c>
    </row>
    <row r="2919" spans="1:11" ht="42" customHeight="1">
      <c r="A2919" s="4" t="s">
        <v>7111</v>
      </c>
      <c r="B2919" s="5" t="s">
        <v>7111</v>
      </c>
      <c r="C2919" s="5" t="s">
        <v>17</v>
      </c>
      <c r="D2919" s="5" t="s">
        <v>18</v>
      </c>
      <c r="E2919" s="5" t="s">
        <v>37</v>
      </c>
      <c r="F2919" s="9">
        <v>29</v>
      </c>
      <c r="G2919" s="9">
        <v>318</v>
      </c>
      <c r="H2919" s="5" t="s">
        <v>20</v>
      </c>
      <c r="I2919" s="5" t="s">
        <v>7112</v>
      </c>
      <c r="J2919" s="12" t="str">
        <f>HYPERLINK("https://www.boe.es/gazeta/dias/1804/04/10/pdfs/GMD-1804-29.pdf#page=8","Abrir facsímil")</f>
        <v>Abrir facsímil</v>
      </c>
      <c r="K2919" s="15" t="s">
        <v>22</v>
      </c>
    </row>
    <row r="2920" spans="1:11" ht="42" customHeight="1">
      <c r="A2920" s="4" t="s">
        <v>7111</v>
      </c>
      <c r="B2920" s="5" t="s">
        <v>7111</v>
      </c>
      <c r="C2920" s="5" t="s">
        <v>27</v>
      </c>
      <c r="D2920" s="5" t="s">
        <v>28</v>
      </c>
      <c r="E2920" s="5" t="s">
        <v>1278</v>
      </c>
      <c r="F2920" s="9">
        <v>37</v>
      </c>
      <c r="G2920" s="9">
        <v>410</v>
      </c>
      <c r="H2920" s="5" t="s">
        <v>20</v>
      </c>
      <c r="I2920" s="5" t="s">
        <v>7113</v>
      </c>
      <c r="J2920" s="12" t="str">
        <f>HYPERLINK("https://www.boe.es/gazeta/dias/1804/05/08/pdfs/GMD-1804-37.pdf#page=8","Abrir facsímil")</f>
        <v>Abrir facsímil</v>
      </c>
      <c r="K2920" s="15" t="s">
        <v>22</v>
      </c>
    </row>
    <row r="2921" spans="1:11" ht="42" customHeight="1">
      <c r="A2921" s="4" t="s">
        <v>7111</v>
      </c>
      <c r="B2921" s="5" t="s">
        <v>7111</v>
      </c>
      <c r="C2921" s="5" t="s">
        <v>27</v>
      </c>
      <c r="D2921" s="5" t="s">
        <v>28</v>
      </c>
      <c r="E2921" s="5" t="s">
        <v>367</v>
      </c>
      <c r="F2921" s="9">
        <v>64</v>
      </c>
      <c r="G2921" s="9">
        <v>713</v>
      </c>
      <c r="H2921" s="5" t="s">
        <v>20</v>
      </c>
      <c r="I2921" s="5" t="s">
        <v>7114</v>
      </c>
      <c r="J2921" s="12" t="str">
        <f>HYPERLINK("https://www.boe.es/gazeta/dias/1804/08/10/pdfs/GMD-1804-64.pdf#page=7","Abrir facsímil")</f>
        <v>Abrir facsímil</v>
      </c>
      <c r="K2921" s="15" t="s">
        <v>22</v>
      </c>
    </row>
    <row r="2922" spans="1:11" ht="42" customHeight="1">
      <c r="A2922" s="4" t="s">
        <v>7115</v>
      </c>
      <c r="B2922" s="5" t="s">
        <v>7115</v>
      </c>
      <c r="C2922" s="5" t="s">
        <v>17</v>
      </c>
      <c r="D2922" s="5" t="s">
        <v>18</v>
      </c>
      <c r="E2922" s="5" t="s">
        <v>308</v>
      </c>
      <c r="F2922" s="9">
        <v>96</v>
      </c>
      <c r="G2922" s="9">
        <v>1067</v>
      </c>
      <c r="H2922" s="5" t="s">
        <v>20</v>
      </c>
      <c r="I2922" s="5" t="s">
        <v>7116</v>
      </c>
      <c r="J2922" s="12" t="str">
        <f>HYPERLINK("https://www.boe.es/gazeta/dias/1804/11/30/pdfs/GMD-1804-96.pdf#page=7","Abrir facsímil")</f>
        <v>Abrir facsímil</v>
      </c>
      <c r="K2922" s="15" t="s">
        <v>22</v>
      </c>
    </row>
    <row r="2923" spans="1:11" ht="42" customHeight="1">
      <c r="A2923" s="4" t="s">
        <v>7117</v>
      </c>
      <c r="B2923" s="5" t="s">
        <v>7117</v>
      </c>
      <c r="C2923" s="5" t="s">
        <v>17</v>
      </c>
      <c r="D2923" s="5" t="s">
        <v>18</v>
      </c>
      <c r="E2923" s="5" t="s">
        <v>140</v>
      </c>
      <c r="F2923" s="9">
        <v>39</v>
      </c>
      <c r="G2923" s="9">
        <v>435</v>
      </c>
      <c r="H2923" s="5" t="s">
        <v>20</v>
      </c>
      <c r="I2923" s="5" t="s">
        <v>7118</v>
      </c>
      <c r="J2923" s="12" t="str">
        <f>HYPERLINK("https://www.boe.es/gazeta/dias/1804/05/15/pdfs/GMD-1804-39.pdf#page=9","Abrir facsímil")</f>
        <v>Abrir facsímil</v>
      </c>
      <c r="K2923" s="15" t="s">
        <v>22</v>
      </c>
    </row>
    <row r="2924" spans="1:11" ht="42" customHeight="1">
      <c r="A2924" s="4" t="s">
        <v>7119</v>
      </c>
      <c r="B2924" s="5" t="s">
        <v>7119</v>
      </c>
      <c r="C2924" s="5" t="s">
        <v>198</v>
      </c>
      <c r="D2924" s="5" t="s">
        <v>66</v>
      </c>
      <c r="E2924" s="5" t="s">
        <v>1337</v>
      </c>
      <c r="F2924" s="9">
        <v>7</v>
      </c>
      <c r="G2924" s="9">
        <v>71</v>
      </c>
      <c r="H2924" s="5" t="s">
        <v>20</v>
      </c>
      <c r="I2924" s="5" t="s">
        <v>7120</v>
      </c>
      <c r="J2924" s="12" t="str">
        <f>HYPERLINK("https://www.boe.es/gazeta/dias/1804/01/24/pdfs/GMD-1804-7.pdf#page=11","Abrir facsímil")</f>
        <v>Abrir facsímil</v>
      </c>
      <c r="K2924" s="15" t="s">
        <v>22</v>
      </c>
    </row>
    <row r="2925" spans="1:11" ht="42" customHeight="1">
      <c r="A2925" s="4" t="s">
        <v>7121</v>
      </c>
      <c r="B2925" s="5" t="s">
        <v>7121</v>
      </c>
      <c r="C2925" s="5" t="s">
        <v>17</v>
      </c>
      <c r="D2925" s="5" t="s">
        <v>18</v>
      </c>
      <c r="E2925" s="5" t="s">
        <v>453</v>
      </c>
      <c r="F2925" s="9">
        <v>33</v>
      </c>
      <c r="G2925" s="9">
        <v>366</v>
      </c>
      <c r="H2925" s="5" t="s">
        <v>20</v>
      </c>
      <c r="I2925" s="5" t="s">
        <v>7122</v>
      </c>
      <c r="J2925" s="12" t="str">
        <f>HYPERLINK("https://www.boe.es/gazeta/dias/1804/04/24/pdfs/GMD-1804-33.pdf#page=8","Abrir facsímil")</f>
        <v>Abrir facsímil</v>
      </c>
      <c r="K2925" s="15" t="s">
        <v>22</v>
      </c>
    </row>
    <row r="2926" spans="1:11" ht="42" customHeight="1">
      <c r="A2926" s="4" t="s">
        <v>7123</v>
      </c>
      <c r="B2926" s="5" t="s">
        <v>7123</v>
      </c>
      <c r="C2926" s="5" t="s">
        <v>27</v>
      </c>
      <c r="D2926" s="5" t="s">
        <v>28</v>
      </c>
      <c r="E2926" s="5" t="s">
        <v>199</v>
      </c>
      <c r="F2926" s="9">
        <v>46</v>
      </c>
      <c r="G2926" s="9">
        <v>512</v>
      </c>
      <c r="H2926" s="5" t="s">
        <v>20</v>
      </c>
      <c r="I2926" s="5" t="s">
        <v>7124</v>
      </c>
      <c r="J2926" s="12" t="str">
        <f>HYPERLINK("https://www.boe.es/gazeta/dias/1804/06/08/pdfs/GMD-1804-46.pdf#page=10","Abrir facsímil")</f>
        <v>Abrir facsímil</v>
      </c>
      <c r="K2926" s="15" t="s">
        <v>22</v>
      </c>
    </row>
    <row r="2927" spans="1:11" ht="42" customHeight="1">
      <c r="A2927" s="4" t="s">
        <v>7125</v>
      </c>
      <c r="B2927" s="5" t="s">
        <v>7125</v>
      </c>
      <c r="C2927" s="5" t="s">
        <v>65</v>
      </c>
      <c r="D2927" s="5" t="s">
        <v>66</v>
      </c>
      <c r="E2927" s="5" t="s">
        <v>77</v>
      </c>
      <c r="F2927" s="9">
        <v>32</v>
      </c>
      <c r="G2927" s="9">
        <v>356</v>
      </c>
      <c r="H2927" s="5" t="s">
        <v>20</v>
      </c>
      <c r="I2927" s="5" t="s">
        <v>7126</v>
      </c>
      <c r="J2927" s="12" t="str">
        <f>HYPERLINK("https://www.boe.es/gazeta/dias/1804/04/20/pdfs/GMD-1804-32.pdf#page=10","Abrir facsímil")</f>
        <v>Abrir facsímil</v>
      </c>
      <c r="K2927" s="15" t="s">
        <v>22</v>
      </c>
    </row>
    <row r="2928" spans="1:11" ht="42" customHeight="1">
      <c r="A2928" s="4" t="s">
        <v>7127</v>
      </c>
      <c r="B2928" s="5" t="s">
        <v>7127</v>
      </c>
      <c r="C2928" s="5" t="s">
        <v>17</v>
      </c>
      <c r="D2928" s="5" t="s">
        <v>18</v>
      </c>
      <c r="E2928" s="5" t="s">
        <v>704</v>
      </c>
      <c r="F2928" s="9">
        <v>36</v>
      </c>
      <c r="G2928" s="9">
        <v>400</v>
      </c>
      <c r="H2928" s="5" t="s">
        <v>20</v>
      </c>
      <c r="I2928" s="5" t="s">
        <v>7128</v>
      </c>
      <c r="J2928" s="12" t="str">
        <f>HYPERLINK("https://www.boe.es/gazeta/dias/1804/05/04/pdfs/GMD-1804-36.pdf#page=10","Abrir facsímil")</f>
        <v>Abrir facsímil</v>
      </c>
      <c r="K2928" s="15" t="s">
        <v>22</v>
      </c>
    </row>
    <row r="2929" spans="1:11" ht="42" customHeight="1">
      <c r="A2929" s="4" t="s">
        <v>7127</v>
      </c>
      <c r="B2929" s="5" t="s">
        <v>7127</v>
      </c>
      <c r="C2929" s="5" t="s">
        <v>27</v>
      </c>
      <c r="D2929" s="5" t="s">
        <v>28</v>
      </c>
      <c r="E2929" s="5" t="s">
        <v>709</v>
      </c>
      <c r="F2929" s="9">
        <v>82</v>
      </c>
      <c r="G2929" s="9">
        <v>907</v>
      </c>
      <c r="H2929" s="5" t="s">
        <v>20</v>
      </c>
      <c r="I2929" s="5" t="s">
        <v>7129</v>
      </c>
      <c r="J2929" s="12" t="str">
        <f>HYPERLINK("https://www.boe.es/gazeta/dias/1804/10/12/pdfs/GMD-1804-82.pdf#page=9","Abrir facsímil")</f>
        <v>Abrir facsímil</v>
      </c>
      <c r="K2929" s="15" t="s">
        <v>22</v>
      </c>
    </row>
    <row r="2930" spans="1:11" ht="42" customHeight="1">
      <c r="A2930" s="4" t="s">
        <v>7130</v>
      </c>
      <c r="B2930" s="5" t="s">
        <v>7130</v>
      </c>
      <c r="C2930" s="5" t="s">
        <v>27</v>
      </c>
      <c r="D2930" s="5" t="s">
        <v>28</v>
      </c>
      <c r="E2930" s="5" t="s">
        <v>216</v>
      </c>
      <c r="F2930" s="9">
        <v>67</v>
      </c>
      <c r="G2930" s="9">
        <v>750</v>
      </c>
      <c r="H2930" s="5" t="s">
        <v>20</v>
      </c>
      <c r="I2930" s="5" t="s">
        <v>7131</v>
      </c>
      <c r="J2930" s="12" t="str">
        <f>HYPERLINK("https://www.boe.es/gazeta/dias/1804/08/21/pdfs/GMD-1804-67.pdf#page=8","Abrir facsímil")</f>
        <v>Abrir facsímil</v>
      </c>
      <c r="K2930" s="15" t="s">
        <v>22</v>
      </c>
    </row>
    <row r="2931" spans="1:11" ht="42" customHeight="1">
      <c r="A2931" s="4" t="s">
        <v>7132</v>
      </c>
      <c r="B2931" s="5" t="s">
        <v>7133</v>
      </c>
      <c r="C2931" s="5" t="s">
        <v>57</v>
      </c>
      <c r="D2931" s="5" t="s">
        <v>58</v>
      </c>
      <c r="E2931" s="5" t="s">
        <v>479</v>
      </c>
      <c r="F2931" s="9">
        <v>5</v>
      </c>
      <c r="G2931" s="9">
        <v>44</v>
      </c>
      <c r="H2931" s="5" t="s">
        <v>20</v>
      </c>
      <c r="I2931" s="5" t="s">
        <v>7134</v>
      </c>
      <c r="J2931" s="12" t="str">
        <f>HYPERLINK("https://www.boe.es/gazeta/dias/1804/01/17/pdfs/GMD-1804-5.pdf#page=4","Abrir facsímil")</f>
        <v>Abrir facsímil</v>
      </c>
      <c r="K2931" s="15" t="s">
        <v>22</v>
      </c>
    </row>
    <row r="2932" spans="1:11" ht="42" customHeight="1">
      <c r="A2932" s="4" t="s">
        <v>7135</v>
      </c>
      <c r="B2932" s="5" t="s">
        <v>7135</v>
      </c>
      <c r="C2932" s="5" t="s">
        <v>17</v>
      </c>
      <c r="D2932" s="5" t="s">
        <v>18</v>
      </c>
      <c r="E2932" s="5" t="s">
        <v>666</v>
      </c>
      <c r="F2932" s="9">
        <v>57</v>
      </c>
      <c r="G2932" s="9">
        <v>632</v>
      </c>
      <c r="H2932" s="5" t="s">
        <v>20</v>
      </c>
      <c r="I2932" s="5" t="s">
        <v>7136</v>
      </c>
      <c r="J2932" s="12" t="str">
        <f>HYPERLINK("https://www.boe.es/gazeta/dias/1804/07/17/pdfs/GMD-1804-57.pdf#page=10","Abrir facsímil")</f>
        <v>Abrir facsímil</v>
      </c>
      <c r="K2932" s="15" t="s">
        <v>22</v>
      </c>
    </row>
    <row r="2933" spans="1:11" ht="42" customHeight="1">
      <c r="A2933" s="4" t="s">
        <v>7137</v>
      </c>
      <c r="B2933" s="5" t="s">
        <v>7137</v>
      </c>
      <c r="C2933" s="5" t="s">
        <v>17</v>
      </c>
      <c r="D2933" s="5" t="s">
        <v>18</v>
      </c>
      <c r="E2933" s="5" t="s">
        <v>75</v>
      </c>
      <c r="F2933" s="9">
        <v>16</v>
      </c>
      <c r="G2933" s="9">
        <v>173</v>
      </c>
      <c r="H2933" s="5" t="s">
        <v>20</v>
      </c>
      <c r="I2933" s="5" t="s">
        <v>7138</v>
      </c>
      <c r="J2933" s="12" t="str">
        <f>HYPERLINK("https://www.boe.es/gazeta/dias/1804/02/24/pdfs/GMD-1804-16.pdf#page=9","Abrir facsímil")</f>
        <v>Abrir facsímil</v>
      </c>
      <c r="K2933" s="15" t="s">
        <v>22</v>
      </c>
    </row>
    <row r="2934" spans="1:11" ht="42" customHeight="1">
      <c r="A2934" s="4" t="s">
        <v>7139</v>
      </c>
      <c r="B2934" s="5" t="s">
        <v>7139</v>
      </c>
      <c r="C2934" s="5" t="s">
        <v>27</v>
      </c>
      <c r="D2934" s="5" t="s">
        <v>28</v>
      </c>
      <c r="E2934" s="5" t="s">
        <v>29</v>
      </c>
      <c r="F2934" s="9">
        <v>88</v>
      </c>
      <c r="G2934" s="9">
        <v>977</v>
      </c>
      <c r="H2934" s="5" t="s">
        <v>20</v>
      </c>
      <c r="I2934" s="5" t="s">
        <v>7140</v>
      </c>
      <c r="J2934" s="12" t="str">
        <f>HYPERLINK("https://www.boe.es/gazeta/dias/1804/11/02/pdfs/GMD-1804-88.pdf#page=9","Abrir facsímil")</f>
        <v>Abrir facsímil</v>
      </c>
      <c r="K2934" s="15" t="s">
        <v>22</v>
      </c>
    </row>
    <row r="2935" spans="1:11" ht="42" customHeight="1">
      <c r="A2935" s="4" t="s">
        <v>7141</v>
      </c>
      <c r="B2935" s="5" t="s">
        <v>7141</v>
      </c>
      <c r="C2935" s="5" t="s">
        <v>27</v>
      </c>
      <c r="D2935" s="5" t="s">
        <v>28</v>
      </c>
      <c r="E2935" s="5" t="s">
        <v>77</v>
      </c>
      <c r="F2935" s="9">
        <v>32</v>
      </c>
      <c r="G2935" s="9">
        <v>356</v>
      </c>
      <c r="H2935" s="5" t="s">
        <v>20</v>
      </c>
      <c r="I2935" s="5" t="s">
        <v>7142</v>
      </c>
      <c r="J2935" s="12" t="str">
        <f>HYPERLINK("https://www.boe.es/gazeta/dias/1804/04/20/pdfs/GMD-1804-32.pdf#page=10","Abrir facsímil")</f>
        <v>Abrir facsímil</v>
      </c>
      <c r="K2935" s="15" t="s">
        <v>22</v>
      </c>
    </row>
    <row r="2936" spans="1:11" ht="42" customHeight="1">
      <c r="A2936" s="4" t="s">
        <v>7143</v>
      </c>
      <c r="B2936" s="5" t="s">
        <v>7143</v>
      </c>
      <c r="C2936" s="5" t="s">
        <v>27</v>
      </c>
      <c r="D2936" s="5" t="s">
        <v>28</v>
      </c>
      <c r="E2936" s="5" t="s">
        <v>61</v>
      </c>
      <c r="F2936" s="9">
        <v>61</v>
      </c>
      <c r="G2936" s="9">
        <v>677</v>
      </c>
      <c r="H2936" s="5" t="s">
        <v>20</v>
      </c>
      <c r="I2936" s="5" t="s">
        <v>7144</v>
      </c>
      <c r="J2936" s="12" t="str">
        <f>HYPERLINK("https://www.boe.es/gazeta/dias/1804/07/31/pdfs/GMD-1804-61.pdf#page=7","Abrir facsímil")</f>
        <v>Abrir facsímil</v>
      </c>
      <c r="K2936" s="15" t="s">
        <v>22</v>
      </c>
    </row>
    <row r="2937" spans="1:11" ht="42" customHeight="1">
      <c r="A2937" s="4" t="s">
        <v>7145</v>
      </c>
      <c r="B2937" s="5" t="s">
        <v>7145</v>
      </c>
      <c r="C2937" s="5" t="s">
        <v>27</v>
      </c>
      <c r="D2937" s="5" t="s">
        <v>28</v>
      </c>
      <c r="E2937" s="5" t="s">
        <v>670</v>
      </c>
      <c r="F2937" s="9">
        <v>41</v>
      </c>
      <c r="G2937" s="9">
        <v>458</v>
      </c>
      <c r="H2937" s="5" t="s">
        <v>20</v>
      </c>
      <c r="I2937" s="5" t="s">
        <v>7146</v>
      </c>
      <c r="J2937" s="12" t="str">
        <f>HYPERLINK("https://www.boe.es/gazeta/dias/1804/05/22/pdfs/GMD-1804-41.pdf#page=8","Abrir facsímil")</f>
        <v>Abrir facsímil</v>
      </c>
      <c r="K2937" s="15" t="s">
        <v>22</v>
      </c>
    </row>
    <row r="2938" spans="1:11" ht="42" customHeight="1">
      <c r="A2938" s="4" t="s">
        <v>7145</v>
      </c>
      <c r="B2938" s="5" t="s">
        <v>7145</v>
      </c>
      <c r="C2938" s="5" t="s">
        <v>27</v>
      </c>
      <c r="D2938" s="5" t="s">
        <v>28</v>
      </c>
      <c r="E2938" s="5" t="s">
        <v>1095</v>
      </c>
      <c r="F2938" s="9">
        <v>73</v>
      </c>
      <c r="G2938" s="9">
        <v>819</v>
      </c>
      <c r="H2938" s="5" t="s">
        <v>20</v>
      </c>
      <c r="I2938" s="5" t="s">
        <v>7147</v>
      </c>
      <c r="J2938" s="12" t="str">
        <f>HYPERLINK("https://www.boe.es/gazeta/dias/1804/09/11/pdfs/GMD-1804-73.pdf#page=9","Abrir facsímil")</f>
        <v>Abrir facsímil</v>
      </c>
      <c r="K2938" s="15" t="s">
        <v>22</v>
      </c>
    </row>
    <row r="2939" spans="1:11" ht="42" customHeight="1">
      <c r="A2939" s="4" t="s">
        <v>7148</v>
      </c>
      <c r="B2939" s="5" t="s">
        <v>7148</v>
      </c>
      <c r="C2939" s="5" t="s">
        <v>65</v>
      </c>
      <c r="D2939" s="5" t="s">
        <v>66</v>
      </c>
      <c r="E2939" s="5" t="s">
        <v>97</v>
      </c>
      <c r="F2939" s="9">
        <v>50</v>
      </c>
      <c r="G2939" s="9">
        <v>552</v>
      </c>
      <c r="H2939" s="5" t="s">
        <v>20</v>
      </c>
      <c r="I2939" s="5" t="s">
        <v>7149</v>
      </c>
      <c r="J2939" s="12" t="str">
        <f>HYPERLINK("https://www.boe.es/gazeta/dias/1804/06/22/pdfs/GMD-1804-50.pdf#page=6","Abrir facsímil")</f>
        <v>Abrir facsímil</v>
      </c>
      <c r="K2939" s="15" t="s">
        <v>22</v>
      </c>
    </row>
    <row r="2940" spans="1:11" ht="42" customHeight="1">
      <c r="A2940" s="4" t="s">
        <v>7150</v>
      </c>
      <c r="B2940" s="5" t="s">
        <v>7150</v>
      </c>
      <c r="C2940" s="5" t="s">
        <v>65</v>
      </c>
      <c r="D2940" s="5" t="s">
        <v>66</v>
      </c>
      <c r="E2940" s="5" t="s">
        <v>222</v>
      </c>
      <c r="F2940" s="9">
        <v>4</v>
      </c>
      <c r="G2940" s="9">
        <v>40</v>
      </c>
      <c r="H2940" s="5" t="s">
        <v>20</v>
      </c>
      <c r="I2940" s="5" t="s">
        <v>7151</v>
      </c>
      <c r="J2940" s="12" t="str">
        <f>HYPERLINK("https://www.boe.es/gazeta/dias/1804/01/13/pdfs/GMD-1804-4.pdf#page=12","Abrir facsímil")</f>
        <v>Abrir facsímil</v>
      </c>
      <c r="K2940" s="15" t="s">
        <v>22</v>
      </c>
    </row>
    <row r="2941" spans="1:11" ht="42" customHeight="1">
      <c r="A2941" s="4" t="s">
        <v>7152</v>
      </c>
      <c r="B2941" s="5" t="s">
        <v>7153</v>
      </c>
      <c r="C2941" s="5" t="s">
        <v>198</v>
      </c>
      <c r="D2941" s="5" t="s">
        <v>66</v>
      </c>
      <c r="E2941" s="5" t="s">
        <v>547</v>
      </c>
      <c r="F2941" s="9">
        <v>68</v>
      </c>
      <c r="G2941" s="9">
        <v>765</v>
      </c>
      <c r="H2941" s="5" t="s">
        <v>20</v>
      </c>
      <c r="I2941" s="5" t="s">
        <v>7154</v>
      </c>
      <c r="J2941" s="12" t="str">
        <f>HYPERLINK("https://www.boe.es/gazeta/dias/1804/08/24/pdfs/GMD-1804-68.pdf#page=11","Abrir facsímil")</f>
        <v>Abrir facsímil</v>
      </c>
      <c r="K2941" s="15" t="s">
        <v>22</v>
      </c>
    </row>
    <row r="2942" spans="1:11" ht="42" customHeight="1">
      <c r="A2942" s="4" t="s">
        <v>7155</v>
      </c>
      <c r="B2942" s="5" t="s">
        <v>7156</v>
      </c>
      <c r="C2942" s="5" t="s">
        <v>198</v>
      </c>
      <c r="D2942" s="5" t="s">
        <v>66</v>
      </c>
      <c r="E2942" s="5" t="s">
        <v>497</v>
      </c>
      <c r="F2942" s="9">
        <v>25</v>
      </c>
      <c r="G2942" s="9">
        <v>286</v>
      </c>
      <c r="H2942" s="5" t="s">
        <v>20</v>
      </c>
      <c r="I2942" s="5" t="s">
        <v>7157</v>
      </c>
      <c r="J2942" s="12" t="str">
        <f>HYPERLINK("https://www.boe.es/gazeta/dias/1804/03/27/pdfs/GMD-1804-25.pdf#page=8","Abrir facsímil")</f>
        <v>Abrir facsímil</v>
      </c>
      <c r="K2942" s="15" t="s">
        <v>22</v>
      </c>
    </row>
    <row r="2943" spans="1:11" ht="42" customHeight="1">
      <c r="A2943" s="4" t="s">
        <v>7155</v>
      </c>
      <c r="B2943" s="5" t="s">
        <v>7156</v>
      </c>
      <c r="C2943" s="5" t="s">
        <v>198</v>
      </c>
      <c r="D2943" s="5" t="s">
        <v>66</v>
      </c>
      <c r="E2943" s="5" t="s">
        <v>111</v>
      </c>
      <c r="F2943" s="9">
        <v>40</v>
      </c>
      <c r="G2943" s="9">
        <v>450</v>
      </c>
      <c r="H2943" s="5" t="s">
        <v>20</v>
      </c>
      <c r="I2943" s="5" t="s">
        <v>7158</v>
      </c>
      <c r="J2943" s="12" t="str">
        <f>HYPERLINK("https://www.boe.es/gazeta/dias/1804/05/18/pdfs/GMD-1804-40.pdf#page=12","Abrir facsímil")</f>
        <v>Abrir facsímil</v>
      </c>
      <c r="K2943" s="15" t="s">
        <v>22</v>
      </c>
    </row>
    <row r="2944" spans="1:11" ht="42" customHeight="1">
      <c r="A2944" s="4" t="s">
        <v>7155</v>
      </c>
      <c r="B2944" s="5" t="s">
        <v>7156</v>
      </c>
      <c r="C2944" s="5" t="s">
        <v>85</v>
      </c>
      <c r="D2944" s="5" t="s">
        <v>86</v>
      </c>
      <c r="E2944" s="5" t="s">
        <v>216</v>
      </c>
      <c r="F2944" s="9">
        <v>67</v>
      </c>
      <c r="G2944" s="9">
        <v>753</v>
      </c>
      <c r="H2944" s="5" t="s">
        <v>20</v>
      </c>
      <c r="I2944" s="5" t="s">
        <v>7159</v>
      </c>
      <c r="J2944" s="12" t="str">
        <f>HYPERLINK("https://www.boe.es/gazeta/dias/1804/08/21/pdfs/GMD-1804-67.pdf#page=11","Abrir facsímil")</f>
        <v>Abrir facsímil</v>
      </c>
      <c r="K2944" s="15" t="s">
        <v>22</v>
      </c>
    </row>
    <row r="2945" spans="1:11" ht="42" customHeight="1">
      <c r="A2945" s="4" t="s">
        <v>7155</v>
      </c>
      <c r="B2945" s="5" t="s">
        <v>7156</v>
      </c>
      <c r="C2945" s="5" t="s">
        <v>65</v>
      </c>
      <c r="D2945" s="5" t="s">
        <v>66</v>
      </c>
      <c r="E2945" s="5" t="s">
        <v>547</v>
      </c>
      <c r="F2945" s="9">
        <v>68</v>
      </c>
      <c r="G2945" s="9">
        <v>766</v>
      </c>
      <c r="H2945" s="5" t="s">
        <v>20</v>
      </c>
      <c r="I2945" s="5" t="s">
        <v>7160</v>
      </c>
      <c r="J2945" s="12" t="str">
        <f>HYPERLINK("https://www.boe.es/gazeta/dias/1804/08/24/pdfs/GMD-1804-68.pdf#page=12","Abrir facsímil")</f>
        <v>Abrir facsímil</v>
      </c>
      <c r="K2945" s="15" t="s">
        <v>22</v>
      </c>
    </row>
    <row r="2946" spans="1:11" ht="42" customHeight="1">
      <c r="A2946" s="4" t="s">
        <v>7155</v>
      </c>
      <c r="B2946" s="5" t="s">
        <v>7156</v>
      </c>
      <c r="C2946" s="5" t="s">
        <v>198</v>
      </c>
      <c r="D2946" s="5" t="s">
        <v>66</v>
      </c>
      <c r="E2946" s="5" t="s">
        <v>143</v>
      </c>
      <c r="F2946" s="9">
        <v>87</v>
      </c>
      <c r="G2946" s="9">
        <v>967</v>
      </c>
      <c r="H2946" s="5" t="s">
        <v>20</v>
      </c>
      <c r="I2946" s="5" t="s">
        <v>7161</v>
      </c>
      <c r="J2946" s="12" t="str">
        <f>HYPERLINK("https://www.boe.es/gazeta/dias/1804/10/30/pdfs/GMD-1804-87.pdf#page=11","Abrir facsímil")</f>
        <v>Abrir facsímil</v>
      </c>
      <c r="K2946" s="15" t="s">
        <v>22</v>
      </c>
    </row>
    <row r="2947" spans="1:11" ht="42" customHeight="1">
      <c r="A2947" s="4" t="s">
        <v>7155</v>
      </c>
      <c r="B2947" s="5" t="s">
        <v>7156</v>
      </c>
      <c r="C2947" s="5" t="s">
        <v>198</v>
      </c>
      <c r="D2947" s="5" t="s">
        <v>66</v>
      </c>
      <c r="E2947" s="5" t="s">
        <v>23</v>
      </c>
      <c r="F2947" s="9">
        <v>91</v>
      </c>
      <c r="G2947" s="9">
        <v>1011</v>
      </c>
      <c r="H2947" s="5" t="s">
        <v>20</v>
      </c>
      <c r="I2947" s="5" t="s">
        <v>7162</v>
      </c>
      <c r="J2947" s="12" t="str">
        <f>HYPERLINK("https://www.boe.es/gazeta/dias/1804/11/13/pdfs/GMD-1804-91.pdf#page=11","Abrir facsímil")</f>
        <v>Abrir facsímil</v>
      </c>
      <c r="K2947" s="15" t="s">
        <v>22</v>
      </c>
    </row>
    <row r="2948" spans="1:11" ht="42" customHeight="1">
      <c r="A2948" s="4" t="s">
        <v>7163</v>
      </c>
      <c r="B2948" s="5" t="s">
        <v>7163</v>
      </c>
      <c r="C2948" s="5" t="s">
        <v>27</v>
      </c>
      <c r="D2948" s="5" t="s">
        <v>28</v>
      </c>
      <c r="E2948" s="5" t="s">
        <v>704</v>
      </c>
      <c r="F2948" s="9">
        <v>36</v>
      </c>
      <c r="G2948" s="9">
        <v>399</v>
      </c>
      <c r="H2948" s="5" t="s">
        <v>20</v>
      </c>
      <c r="I2948" s="5" t="s">
        <v>7164</v>
      </c>
      <c r="J2948" s="12" t="str">
        <f>HYPERLINK("https://www.boe.es/gazeta/dias/1804/05/04/pdfs/GMD-1804-36.pdf#page=9","Abrir facsímil")</f>
        <v>Abrir facsímil</v>
      </c>
      <c r="K2948" s="15" t="s">
        <v>22</v>
      </c>
    </row>
    <row r="2949" spans="1:11" ht="42" customHeight="1">
      <c r="A2949" s="4" t="s">
        <v>7165</v>
      </c>
      <c r="B2949" s="5" t="s">
        <v>7165</v>
      </c>
      <c r="C2949" s="5" t="s">
        <v>17</v>
      </c>
      <c r="D2949" s="5" t="s">
        <v>18</v>
      </c>
      <c r="E2949" s="5" t="s">
        <v>71</v>
      </c>
      <c r="F2949" s="9">
        <v>99</v>
      </c>
      <c r="G2949" s="9">
        <v>1106</v>
      </c>
      <c r="H2949" s="5" t="s">
        <v>20</v>
      </c>
      <c r="I2949" s="5" t="s">
        <v>7166</v>
      </c>
      <c r="J2949" s="12" t="str">
        <f>HYPERLINK("https://www.boe.es/gazeta/dias/1804/12/11/pdfs/GMD-1804-99.pdf#page=6","Abrir facsímil")</f>
        <v>Abrir facsímil</v>
      </c>
      <c r="K2949" s="15" t="s">
        <v>22</v>
      </c>
    </row>
    <row r="2950" spans="1:11" ht="42" customHeight="1">
      <c r="A2950" s="4" t="s">
        <v>7167</v>
      </c>
      <c r="B2950" s="5" t="s">
        <v>7168</v>
      </c>
      <c r="C2950" s="5" t="s">
        <v>198</v>
      </c>
      <c r="D2950" s="5" t="s">
        <v>66</v>
      </c>
      <c r="E2950" s="5" t="s">
        <v>143</v>
      </c>
      <c r="F2950" s="9">
        <v>87</v>
      </c>
      <c r="G2950" s="9">
        <v>967</v>
      </c>
      <c r="H2950" s="5" t="s">
        <v>20</v>
      </c>
      <c r="I2950" s="5" t="s">
        <v>7169</v>
      </c>
      <c r="J2950" s="12" t="str">
        <f>HYPERLINK("https://www.boe.es/gazeta/dias/1804/10/30/pdfs/GMD-1804-87.pdf#page=11","Abrir facsímil")</f>
        <v>Abrir facsímil</v>
      </c>
      <c r="K2950" s="15" t="s">
        <v>22</v>
      </c>
    </row>
    <row r="2951" spans="1:11" ht="42" customHeight="1">
      <c r="A2951" s="4" t="s">
        <v>7167</v>
      </c>
      <c r="B2951" s="5" t="s">
        <v>7168</v>
      </c>
      <c r="C2951" s="5" t="s">
        <v>198</v>
      </c>
      <c r="D2951" s="5" t="s">
        <v>66</v>
      </c>
      <c r="E2951" s="5" t="s">
        <v>1020</v>
      </c>
      <c r="F2951" s="9">
        <v>103</v>
      </c>
      <c r="G2951" s="9">
        <v>1148</v>
      </c>
      <c r="H2951" s="5" t="s">
        <v>20</v>
      </c>
      <c r="I2951" s="5" t="s">
        <v>7170</v>
      </c>
      <c r="J2951" s="12" t="str">
        <f>HYPERLINK("https://www.boe.es/gazeta/dias/1804/12/25/pdfs/GMD-1804-103.pdf#page=8","Abrir facsímil")</f>
        <v>Abrir facsímil</v>
      </c>
      <c r="K2951" s="15" t="s">
        <v>22</v>
      </c>
    </row>
    <row r="2952" spans="1:11" ht="42" customHeight="1">
      <c r="A2952" s="4" t="s">
        <v>7171</v>
      </c>
      <c r="B2952" s="5" t="s">
        <v>7171</v>
      </c>
      <c r="C2952" s="5" t="s">
        <v>17</v>
      </c>
      <c r="D2952" s="5" t="s">
        <v>18</v>
      </c>
      <c r="E2952" s="5" t="s">
        <v>576</v>
      </c>
      <c r="F2952" s="9">
        <v>85</v>
      </c>
      <c r="G2952" s="9">
        <v>941</v>
      </c>
      <c r="H2952" s="5" t="s">
        <v>20</v>
      </c>
      <c r="I2952" s="5" t="s">
        <v>7172</v>
      </c>
      <c r="J2952" s="12" t="str">
        <f>HYPERLINK("https://www.boe.es/gazeta/dias/1804/10/23/pdfs/GMD-1804-85.pdf#page=11","Abrir facsímil")</f>
        <v>Abrir facsímil</v>
      </c>
      <c r="K2952" s="15" t="s">
        <v>22</v>
      </c>
    </row>
    <row r="2953" spans="1:11" ht="42" customHeight="1">
      <c r="A2953" s="4" t="s">
        <v>7173</v>
      </c>
      <c r="B2953" s="5" t="s">
        <v>7173</v>
      </c>
      <c r="C2953" s="5" t="s">
        <v>27</v>
      </c>
      <c r="D2953" s="5" t="s">
        <v>28</v>
      </c>
      <c r="E2953" s="5" t="s">
        <v>736</v>
      </c>
      <c r="F2953" s="9">
        <v>83</v>
      </c>
      <c r="G2953" s="9">
        <v>919</v>
      </c>
      <c r="H2953" s="5" t="s">
        <v>20</v>
      </c>
      <c r="I2953" s="5" t="s">
        <v>7174</v>
      </c>
      <c r="J2953" s="12" t="str">
        <f>HYPERLINK("https://www.boe.es/gazeta/dias/1804/10/16/pdfs/GMD-1804-83.pdf#page=9","Abrir facsímil")</f>
        <v>Abrir facsímil</v>
      </c>
      <c r="K2953" s="15" t="s">
        <v>22</v>
      </c>
    </row>
    <row r="2954" spans="1:11" ht="42" customHeight="1">
      <c r="A2954" s="4" t="s">
        <v>7175</v>
      </c>
      <c r="B2954" s="5" t="s">
        <v>7175</v>
      </c>
      <c r="C2954" s="5" t="s">
        <v>17</v>
      </c>
      <c r="D2954" s="5" t="s">
        <v>18</v>
      </c>
      <c r="E2954" s="5" t="s">
        <v>367</v>
      </c>
      <c r="F2954" s="9">
        <v>64</v>
      </c>
      <c r="G2954" s="9">
        <v>716</v>
      </c>
      <c r="H2954" s="5" t="s">
        <v>20</v>
      </c>
      <c r="I2954" s="5" t="s">
        <v>7176</v>
      </c>
      <c r="J2954" s="12" t="str">
        <f>HYPERLINK("https://www.boe.es/gazeta/dias/1804/08/10/pdfs/GMD-1804-64.pdf#page=10","Abrir facsímil")</f>
        <v>Abrir facsímil</v>
      </c>
      <c r="K2954" s="15" t="s">
        <v>22</v>
      </c>
    </row>
    <row r="2955" spans="1:11" ht="42" customHeight="1">
      <c r="A2955" s="4" t="s">
        <v>7177</v>
      </c>
      <c r="B2955" s="5" t="s">
        <v>7177</v>
      </c>
      <c r="C2955" s="5" t="s">
        <v>27</v>
      </c>
      <c r="D2955" s="5" t="s">
        <v>28</v>
      </c>
      <c r="E2955" s="5" t="s">
        <v>140</v>
      </c>
      <c r="F2955" s="9">
        <v>39</v>
      </c>
      <c r="G2955" s="9">
        <v>436</v>
      </c>
      <c r="H2955" s="5" t="s">
        <v>20</v>
      </c>
      <c r="I2955" s="5" t="s">
        <v>7178</v>
      </c>
      <c r="J2955" s="12" t="str">
        <f>HYPERLINK("https://www.boe.es/gazeta/dias/1804/05/15/pdfs/GMD-1804-39.pdf#page=10","Abrir facsímil")</f>
        <v>Abrir facsímil</v>
      </c>
      <c r="K2955" s="15" t="s">
        <v>22</v>
      </c>
    </row>
    <row r="2956" spans="1:11" ht="42" customHeight="1">
      <c r="A2956" s="4" t="s">
        <v>7179</v>
      </c>
      <c r="B2956" s="5" t="s">
        <v>7179</v>
      </c>
      <c r="C2956" s="5" t="s">
        <v>17</v>
      </c>
      <c r="D2956" s="5" t="s">
        <v>18</v>
      </c>
      <c r="E2956" s="5" t="s">
        <v>71</v>
      </c>
      <c r="F2956" s="9">
        <v>99</v>
      </c>
      <c r="G2956" s="9">
        <v>1106</v>
      </c>
      <c r="H2956" s="5" t="s">
        <v>20</v>
      </c>
      <c r="I2956" s="5" t="s">
        <v>7180</v>
      </c>
      <c r="J2956" s="12" t="str">
        <f>HYPERLINK("https://www.boe.es/gazeta/dias/1804/12/11/pdfs/GMD-1804-99.pdf#page=6","Abrir facsímil")</f>
        <v>Abrir facsímil</v>
      </c>
      <c r="K2956" s="15" t="s">
        <v>22</v>
      </c>
    </row>
    <row r="2957" spans="1:11" ht="42" customHeight="1">
      <c r="A2957" s="4" t="s">
        <v>7181</v>
      </c>
      <c r="B2957" s="5" t="s">
        <v>7181</v>
      </c>
      <c r="C2957" s="5" t="s">
        <v>65</v>
      </c>
      <c r="D2957" s="5" t="s">
        <v>66</v>
      </c>
      <c r="E2957" s="5" t="s">
        <v>47</v>
      </c>
      <c r="F2957" s="9">
        <v>78</v>
      </c>
      <c r="G2957" s="9">
        <v>868</v>
      </c>
      <c r="H2957" s="5" t="s">
        <v>20</v>
      </c>
      <c r="I2957" s="5" t="s">
        <v>7182</v>
      </c>
      <c r="J2957" s="12" t="str">
        <f>HYPERLINK("https://www.boe.es/gazeta/dias/1804/09/28/pdfs/GMD-1804-78.pdf#page=6","Abrir facsímil")</f>
        <v>Abrir facsímil</v>
      </c>
      <c r="K2957" s="15" t="s">
        <v>22</v>
      </c>
    </row>
    <row r="2958" spans="1:11" ht="42" customHeight="1">
      <c r="A2958" s="4" t="s">
        <v>7183</v>
      </c>
      <c r="B2958" s="5" t="s">
        <v>7183</v>
      </c>
      <c r="C2958" s="5" t="s">
        <v>120</v>
      </c>
      <c r="D2958" s="5" t="s">
        <v>121</v>
      </c>
      <c r="E2958" s="5" t="s">
        <v>33</v>
      </c>
      <c r="F2958" s="9">
        <v>48</v>
      </c>
      <c r="G2958" s="9" t="s">
        <v>285</v>
      </c>
      <c r="H2958" s="5" t="s">
        <v>20</v>
      </c>
      <c r="I2958" s="5" t="s">
        <v>7184</v>
      </c>
      <c r="J2958" s="12" t="str">
        <f>HYPERLINK("https://www.boe.es/gazeta/dias/1804/06/15/pdfs/GMD-C-1804-48.pdf#page=2","Abrir facsímil")</f>
        <v>Abrir facsímil</v>
      </c>
      <c r="K2958" s="15" t="s">
        <v>22</v>
      </c>
    </row>
    <row r="2959" spans="1:11" ht="42" customHeight="1">
      <c r="A2959" s="4" t="s">
        <v>7183</v>
      </c>
      <c r="B2959" s="5" t="s">
        <v>7183</v>
      </c>
      <c r="C2959" s="5" t="s">
        <v>27</v>
      </c>
      <c r="D2959" s="5" t="s">
        <v>28</v>
      </c>
      <c r="E2959" s="5" t="s">
        <v>191</v>
      </c>
      <c r="F2959" s="9">
        <v>101</v>
      </c>
      <c r="G2959" s="9">
        <v>1129</v>
      </c>
      <c r="H2959" s="5" t="s">
        <v>20</v>
      </c>
      <c r="I2959" s="5" t="s">
        <v>7185</v>
      </c>
      <c r="J2959" s="12" t="str">
        <f>HYPERLINK("https://www.boe.es/gazeta/dias/1804/12/18/pdfs/GMD-1804-101.pdf#page=9","Abrir facsímil")</f>
        <v>Abrir facsímil</v>
      </c>
      <c r="K2959" s="15" t="s">
        <v>22</v>
      </c>
    </row>
    <row r="2960" spans="1:11" ht="42" customHeight="1">
      <c r="A2960" s="4" t="s">
        <v>7186</v>
      </c>
      <c r="B2960" s="5" t="s">
        <v>7186</v>
      </c>
      <c r="C2960" s="5" t="s">
        <v>17</v>
      </c>
      <c r="D2960" s="5" t="s">
        <v>18</v>
      </c>
      <c r="E2960" s="5" t="s">
        <v>159</v>
      </c>
      <c r="F2960" s="9">
        <v>15</v>
      </c>
      <c r="G2960" s="9">
        <v>163</v>
      </c>
      <c r="H2960" s="5" t="s">
        <v>20</v>
      </c>
      <c r="I2960" s="5" t="s">
        <v>7187</v>
      </c>
      <c r="J2960" s="12" t="str">
        <f>HYPERLINK("https://www.boe.es/gazeta/dias/1804/02/21/pdfs/GMD-1804-15.pdf#page=7","Abrir facsímil")</f>
        <v>Abrir facsímil</v>
      </c>
      <c r="K2960" s="15" t="s">
        <v>22</v>
      </c>
    </row>
    <row r="2961" spans="1:11" ht="42" customHeight="1">
      <c r="A2961" s="4" t="s">
        <v>7188</v>
      </c>
      <c r="B2961" s="5" t="s">
        <v>7188</v>
      </c>
      <c r="C2961" s="5" t="s">
        <v>198</v>
      </c>
      <c r="D2961" s="5" t="s">
        <v>66</v>
      </c>
      <c r="E2961" s="5" t="s">
        <v>1020</v>
      </c>
      <c r="F2961" s="9">
        <v>103</v>
      </c>
      <c r="G2961" s="9">
        <v>1148</v>
      </c>
      <c r="H2961" s="5" t="s">
        <v>20</v>
      </c>
      <c r="I2961" s="5" t="s">
        <v>7189</v>
      </c>
      <c r="J2961" s="12" t="str">
        <f>HYPERLINK("https://www.boe.es/gazeta/dias/1804/12/25/pdfs/GMD-1804-103.pdf#page=8","Abrir facsímil")</f>
        <v>Abrir facsímil</v>
      </c>
      <c r="K2961" s="15" t="s">
        <v>22</v>
      </c>
    </row>
    <row r="2962" spans="1:11" ht="42" customHeight="1">
      <c r="A2962" s="4" t="s">
        <v>7190</v>
      </c>
      <c r="B2962" s="5" t="s">
        <v>7190</v>
      </c>
      <c r="C2962" s="5" t="s">
        <v>17</v>
      </c>
      <c r="D2962" s="5" t="s">
        <v>18</v>
      </c>
      <c r="E2962" s="5" t="s">
        <v>800</v>
      </c>
      <c r="F2962" s="9">
        <v>45</v>
      </c>
      <c r="G2962" s="9">
        <v>500</v>
      </c>
      <c r="H2962" s="5" t="s">
        <v>20</v>
      </c>
      <c r="I2962" s="5" t="s">
        <v>7191</v>
      </c>
      <c r="J2962" s="12" t="str">
        <f>HYPERLINK("https://www.boe.es/gazeta/dias/1804/06/05/pdfs/GMD-1804-45.pdf#page=10","Abrir facsímil")</f>
        <v>Abrir facsímil</v>
      </c>
      <c r="K2962" s="15" t="s">
        <v>22</v>
      </c>
    </row>
    <row r="2963" spans="1:11" ht="42" customHeight="1">
      <c r="A2963" s="4" t="s">
        <v>7192</v>
      </c>
      <c r="B2963" s="5" t="s">
        <v>7192</v>
      </c>
      <c r="C2963" s="5" t="s">
        <v>27</v>
      </c>
      <c r="D2963" s="5" t="s">
        <v>28</v>
      </c>
      <c r="E2963" s="5" t="s">
        <v>258</v>
      </c>
      <c r="F2963" s="9">
        <v>14</v>
      </c>
      <c r="G2963" s="9">
        <v>154</v>
      </c>
      <c r="H2963" s="5" t="s">
        <v>20</v>
      </c>
      <c r="I2963" s="5" t="s">
        <v>7193</v>
      </c>
      <c r="J2963" s="12" t="str">
        <f>HYPERLINK("https://www.boe.es/gazeta/dias/1804/02/17/pdfs/GMD-1804-14.pdf#page=10","Abrir facsímil")</f>
        <v>Abrir facsímil</v>
      </c>
      <c r="K2963" s="15" t="s">
        <v>22</v>
      </c>
    </row>
    <row r="2964" spans="1:11" ht="42" customHeight="1">
      <c r="A2964" s="4" t="s">
        <v>7194</v>
      </c>
      <c r="B2964" s="5" t="s">
        <v>7194</v>
      </c>
      <c r="C2964" s="5" t="s">
        <v>17</v>
      </c>
      <c r="D2964" s="5" t="s">
        <v>18</v>
      </c>
      <c r="E2964" s="5" t="s">
        <v>172</v>
      </c>
      <c r="F2964" s="9">
        <v>38</v>
      </c>
      <c r="G2964" s="9">
        <v>424</v>
      </c>
      <c r="H2964" s="5" t="s">
        <v>20</v>
      </c>
      <c r="I2964" s="5" t="s">
        <v>7195</v>
      </c>
      <c r="J2964" s="12" t="str">
        <f>HYPERLINK("https://www.boe.es/gazeta/dias/1804/05/11/pdfs/GMD-1804-38.pdf#page=10","Abrir facsímil")</f>
        <v>Abrir facsímil</v>
      </c>
      <c r="K2964" s="15" t="s">
        <v>22</v>
      </c>
    </row>
    <row r="2965" spans="1:11" ht="42" customHeight="1">
      <c r="A2965" s="4" t="s">
        <v>7196</v>
      </c>
      <c r="B2965" s="5" t="s">
        <v>7196</v>
      </c>
      <c r="C2965" s="5" t="s">
        <v>17</v>
      </c>
      <c r="D2965" s="5" t="s">
        <v>18</v>
      </c>
      <c r="E2965" s="5" t="s">
        <v>159</v>
      </c>
      <c r="F2965" s="9">
        <v>15</v>
      </c>
      <c r="G2965" s="9">
        <v>163</v>
      </c>
      <c r="H2965" s="5" t="s">
        <v>20</v>
      </c>
      <c r="I2965" s="5" t="s">
        <v>7197</v>
      </c>
      <c r="J2965" s="12" t="str">
        <f>HYPERLINK("https://www.boe.es/gazeta/dias/1804/02/21/pdfs/GMD-1804-15.pdf#page=7","Abrir facsímil")</f>
        <v>Abrir facsímil</v>
      </c>
      <c r="K2965" s="15" t="s">
        <v>22</v>
      </c>
    </row>
    <row r="2966" spans="1:11" ht="42" customHeight="1">
      <c r="A2966" s="4" t="s">
        <v>7198</v>
      </c>
      <c r="B2966" s="5" t="s">
        <v>7198</v>
      </c>
      <c r="C2966" s="5" t="s">
        <v>65</v>
      </c>
      <c r="D2966" s="5" t="s">
        <v>66</v>
      </c>
      <c r="E2966" s="5" t="s">
        <v>623</v>
      </c>
      <c r="F2966" s="9">
        <v>51</v>
      </c>
      <c r="G2966" s="9">
        <v>565</v>
      </c>
      <c r="H2966" s="5" t="s">
        <v>20</v>
      </c>
      <c r="I2966" s="5" t="s">
        <v>7199</v>
      </c>
      <c r="J2966" s="12" t="str">
        <f>HYPERLINK("https://www.boe.es/gazeta/dias/1804/06/26/pdfs/GMD-1804-51.pdf#page=11","Abrir facsímil")</f>
        <v>Abrir facsímil</v>
      </c>
      <c r="K2966" s="15" t="s">
        <v>22</v>
      </c>
    </row>
    <row r="2967" spans="1:11" ht="42" customHeight="1">
      <c r="A2967" s="4" t="s">
        <v>7200</v>
      </c>
      <c r="B2967" s="5" t="s">
        <v>7200</v>
      </c>
      <c r="C2967" s="5" t="s">
        <v>27</v>
      </c>
      <c r="D2967" s="5" t="s">
        <v>28</v>
      </c>
      <c r="E2967" s="5" t="s">
        <v>91</v>
      </c>
      <c r="F2967" s="9">
        <v>72</v>
      </c>
      <c r="G2967" s="9">
        <v>806</v>
      </c>
      <c r="H2967" s="5" t="s">
        <v>20</v>
      </c>
      <c r="I2967" s="5" t="s">
        <v>7201</v>
      </c>
      <c r="J2967" s="12" t="str">
        <f>HYPERLINK("https://www.boe.es/gazeta/dias/1804/09/07/pdfs/GMD-1804-72.pdf#page=8","Abrir facsímil")</f>
        <v>Abrir facsímil</v>
      </c>
      <c r="K2967" s="15" t="s">
        <v>22</v>
      </c>
    </row>
    <row r="2968" spans="1:11" ht="42" customHeight="1">
      <c r="A2968" s="4" t="s">
        <v>7202</v>
      </c>
      <c r="B2968" s="5" t="s">
        <v>7202</v>
      </c>
      <c r="C2968" s="5" t="s">
        <v>65</v>
      </c>
      <c r="D2968" s="5" t="s">
        <v>66</v>
      </c>
      <c r="E2968" s="5" t="s">
        <v>736</v>
      </c>
      <c r="F2968" s="9">
        <v>83</v>
      </c>
      <c r="G2968" s="9">
        <v>919</v>
      </c>
      <c r="H2968" s="5" t="s">
        <v>20</v>
      </c>
      <c r="I2968" s="5" t="s">
        <v>7203</v>
      </c>
      <c r="J2968" s="12" t="str">
        <f>HYPERLINK("https://www.boe.es/gazeta/dias/1804/10/16/pdfs/GMD-1804-83.pdf#page=9","Abrir facsímil")</f>
        <v>Abrir facsímil</v>
      </c>
      <c r="K2968" s="15" t="s">
        <v>22</v>
      </c>
    </row>
    <row r="2969" spans="1:11" ht="42" customHeight="1">
      <c r="A2969" s="4" t="s">
        <v>7204</v>
      </c>
      <c r="B2969" s="5" t="s">
        <v>7204</v>
      </c>
      <c r="C2969" s="5" t="s">
        <v>27</v>
      </c>
      <c r="D2969" s="5" t="s">
        <v>28</v>
      </c>
      <c r="E2969" s="5" t="s">
        <v>326</v>
      </c>
      <c r="F2969" s="9">
        <v>69</v>
      </c>
      <c r="G2969" s="9">
        <v>775</v>
      </c>
      <c r="H2969" s="5" t="s">
        <v>20</v>
      </c>
      <c r="I2969" s="5" t="s">
        <v>7205</v>
      </c>
      <c r="J2969" s="12" t="str">
        <f>HYPERLINK("https://www.boe.es/gazeta/dias/1804/08/28/pdfs/GMD-1804-69.pdf#page=9","Abrir facsímil")</f>
        <v>Abrir facsímil</v>
      </c>
      <c r="K2969" s="15" t="s">
        <v>22</v>
      </c>
    </row>
    <row r="2970" spans="1:11" ht="42" customHeight="1">
      <c r="A2970" s="4" t="s">
        <v>7206</v>
      </c>
      <c r="B2970" s="5" t="s">
        <v>7206</v>
      </c>
      <c r="C2970" s="5" t="s">
        <v>27</v>
      </c>
      <c r="D2970" s="5" t="s">
        <v>28</v>
      </c>
      <c r="E2970" s="5" t="s">
        <v>378</v>
      </c>
      <c r="F2970" s="9">
        <v>65</v>
      </c>
      <c r="G2970" s="9">
        <v>731</v>
      </c>
      <c r="H2970" s="5" t="s">
        <v>20</v>
      </c>
      <c r="I2970" s="5" t="s">
        <v>7207</v>
      </c>
      <c r="J2970" s="12" t="str">
        <f>HYPERLINK("https://www.boe.es/gazeta/dias/1804/08/14/pdfs/GMD-1804-65.pdf#page=9","Abrir facsímil")</f>
        <v>Abrir facsímil</v>
      </c>
      <c r="K2970" s="15" t="s">
        <v>22</v>
      </c>
    </row>
    <row r="2971" spans="1:11" ht="42" customHeight="1">
      <c r="A2971" s="4" t="s">
        <v>7208</v>
      </c>
      <c r="B2971" s="5" t="s">
        <v>7208</v>
      </c>
      <c r="C2971" s="5" t="s">
        <v>27</v>
      </c>
      <c r="D2971" s="5" t="s">
        <v>28</v>
      </c>
      <c r="E2971" s="5" t="s">
        <v>37</v>
      </c>
      <c r="F2971" s="9">
        <v>29</v>
      </c>
      <c r="G2971" s="9">
        <v>320</v>
      </c>
      <c r="H2971" s="5" t="s">
        <v>20</v>
      </c>
      <c r="I2971" s="5" t="s">
        <v>7209</v>
      </c>
      <c r="J2971" s="12" t="str">
        <f>HYPERLINK("https://www.boe.es/gazeta/dias/1804/04/10/pdfs/GMD-1804-29.pdf#page=10","Abrir facsímil")</f>
        <v>Abrir facsímil</v>
      </c>
      <c r="K2971" s="15" t="s">
        <v>22</v>
      </c>
    </row>
    <row r="2972" spans="1:11" ht="42" customHeight="1">
      <c r="A2972" s="4" t="s">
        <v>7210</v>
      </c>
      <c r="B2972" s="5" t="s">
        <v>7210</v>
      </c>
      <c r="C2972" s="5" t="s">
        <v>27</v>
      </c>
      <c r="D2972" s="5" t="s">
        <v>28</v>
      </c>
      <c r="E2972" s="5" t="s">
        <v>857</v>
      </c>
      <c r="F2972" s="9">
        <v>28</v>
      </c>
      <c r="G2972" s="9">
        <v>308</v>
      </c>
      <c r="H2972" s="5" t="s">
        <v>20</v>
      </c>
      <c r="I2972" s="5" t="s">
        <v>7211</v>
      </c>
      <c r="J2972" s="12" t="str">
        <f>HYPERLINK("https://www.boe.es/gazeta/dias/1804/04/06/pdfs/GMD-1804-28.pdf#page=6","Abrir facsímil")</f>
        <v>Abrir facsímil</v>
      </c>
      <c r="K2972" s="15" t="s">
        <v>22</v>
      </c>
    </row>
    <row r="2973" spans="1:11" ht="42" customHeight="1">
      <c r="A2973" s="4" t="s">
        <v>7212</v>
      </c>
      <c r="B2973" s="5" t="s">
        <v>7212</v>
      </c>
      <c r="C2973" s="5" t="s">
        <v>17</v>
      </c>
      <c r="D2973" s="5" t="s">
        <v>18</v>
      </c>
      <c r="E2973" s="5" t="s">
        <v>87</v>
      </c>
      <c r="F2973" s="9">
        <v>9</v>
      </c>
      <c r="G2973" s="9">
        <v>98</v>
      </c>
      <c r="H2973" s="5" t="s">
        <v>20</v>
      </c>
      <c r="I2973" s="5" t="s">
        <v>7213</v>
      </c>
      <c r="J2973" s="12" t="str">
        <f>HYPERLINK("https://www.boe.es/gazeta/dias/1804/01/31/pdfs/GMD-1804-9.pdf#page=10","Abrir facsímil")</f>
        <v>Abrir facsímil</v>
      </c>
      <c r="K2973" s="15" t="s">
        <v>22</v>
      </c>
    </row>
    <row r="2974" spans="1:11" ht="42" customHeight="1">
      <c r="A2974" s="4" t="s">
        <v>7212</v>
      </c>
      <c r="B2974" s="5" t="s">
        <v>7212</v>
      </c>
      <c r="C2974" s="5" t="s">
        <v>27</v>
      </c>
      <c r="D2974" s="5" t="s">
        <v>28</v>
      </c>
      <c r="E2974" s="5" t="s">
        <v>272</v>
      </c>
      <c r="F2974" s="9">
        <v>30</v>
      </c>
      <c r="G2974" s="9">
        <v>332</v>
      </c>
      <c r="H2974" s="5" t="s">
        <v>20</v>
      </c>
      <c r="I2974" s="5" t="s">
        <v>7214</v>
      </c>
      <c r="J2974" s="12" t="str">
        <f>HYPERLINK("https://www.boe.es/gazeta/dias/1804/04/13/pdfs/GMD-1804-30.pdf#page=10","Abrir facsímil")</f>
        <v>Abrir facsímil</v>
      </c>
      <c r="K2974" s="15" t="s">
        <v>22</v>
      </c>
    </row>
    <row r="2975" spans="1:11" ht="42" customHeight="1">
      <c r="A2975" s="4" t="s">
        <v>7215</v>
      </c>
      <c r="B2975" s="5" t="s">
        <v>7215</v>
      </c>
      <c r="C2975" s="5" t="s">
        <v>17</v>
      </c>
      <c r="D2975" s="5" t="s">
        <v>18</v>
      </c>
      <c r="E2975" s="5" t="s">
        <v>453</v>
      </c>
      <c r="F2975" s="9">
        <v>33</v>
      </c>
      <c r="G2975" s="9">
        <v>366</v>
      </c>
      <c r="H2975" s="5" t="s">
        <v>20</v>
      </c>
      <c r="I2975" s="5" t="s">
        <v>7216</v>
      </c>
      <c r="J2975" s="12" t="str">
        <f>HYPERLINK("https://www.boe.es/gazeta/dias/1804/04/24/pdfs/GMD-1804-33.pdf#page=8","Abrir facsímil")</f>
        <v>Abrir facsímil</v>
      </c>
      <c r="K2975" s="15" t="s">
        <v>22</v>
      </c>
    </row>
    <row r="2976" spans="1:11" ht="42" customHeight="1">
      <c r="A2976" s="4" t="s">
        <v>7217</v>
      </c>
      <c r="B2976" s="5" t="s">
        <v>7217</v>
      </c>
      <c r="C2976" s="5" t="s">
        <v>65</v>
      </c>
      <c r="D2976" s="5" t="s">
        <v>66</v>
      </c>
      <c r="E2976" s="5" t="s">
        <v>97</v>
      </c>
      <c r="F2976" s="9">
        <v>50</v>
      </c>
      <c r="G2976" s="9">
        <v>552</v>
      </c>
      <c r="H2976" s="5" t="s">
        <v>20</v>
      </c>
      <c r="I2976" s="5" t="s">
        <v>7218</v>
      </c>
      <c r="J2976" s="12" t="str">
        <f>HYPERLINK("https://www.boe.es/gazeta/dias/1804/06/22/pdfs/GMD-1804-50.pdf#page=6","Abrir facsímil")</f>
        <v>Abrir facsímil</v>
      </c>
      <c r="K2976" s="15" t="s">
        <v>22</v>
      </c>
    </row>
    <row r="2977" spans="1:11" ht="42" customHeight="1">
      <c r="A2977" s="4" t="s">
        <v>7219</v>
      </c>
      <c r="B2977" s="5" t="s">
        <v>7219</v>
      </c>
      <c r="C2977" s="5" t="s">
        <v>17</v>
      </c>
      <c r="D2977" s="5" t="s">
        <v>18</v>
      </c>
      <c r="E2977" s="5" t="s">
        <v>43</v>
      </c>
      <c r="F2977" s="9">
        <v>84</v>
      </c>
      <c r="G2977" s="9">
        <v>930</v>
      </c>
      <c r="H2977" s="5" t="s">
        <v>20</v>
      </c>
      <c r="I2977" s="5" t="s">
        <v>7220</v>
      </c>
      <c r="J2977" s="12" t="str">
        <f>HYPERLINK("https://www.boe.es/gazeta/dias/1804/10/19/pdfs/GMD-1804-84.pdf#page=8","Abrir facsímil")</f>
        <v>Abrir facsímil</v>
      </c>
      <c r="K2977" s="15" t="s">
        <v>22</v>
      </c>
    </row>
    <row r="2978" spans="1:11" ht="42" customHeight="1">
      <c r="A2978" s="4" t="s">
        <v>7221</v>
      </c>
      <c r="B2978" s="5" t="s">
        <v>7221</v>
      </c>
      <c r="C2978" s="5" t="s">
        <v>27</v>
      </c>
      <c r="D2978" s="5" t="s">
        <v>28</v>
      </c>
      <c r="E2978" s="5" t="s">
        <v>709</v>
      </c>
      <c r="F2978" s="9">
        <v>82</v>
      </c>
      <c r="G2978" s="9">
        <v>907</v>
      </c>
      <c r="H2978" s="5" t="s">
        <v>20</v>
      </c>
      <c r="I2978" s="5" t="s">
        <v>7222</v>
      </c>
      <c r="J2978" s="12" t="str">
        <f>HYPERLINK("https://www.boe.es/gazeta/dias/1804/10/12/pdfs/GMD-1804-82.pdf#page=9","Abrir facsímil")</f>
        <v>Abrir facsímil</v>
      </c>
      <c r="K2978" s="15" t="s">
        <v>22</v>
      </c>
    </row>
    <row r="2979" spans="1:11" ht="42" customHeight="1">
      <c r="A2979" s="4" t="s">
        <v>7223</v>
      </c>
      <c r="B2979" s="5" t="s">
        <v>7223</v>
      </c>
      <c r="C2979" s="5" t="s">
        <v>17</v>
      </c>
      <c r="D2979" s="5" t="s">
        <v>18</v>
      </c>
      <c r="E2979" s="5" t="s">
        <v>97</v>
      </c>
      <c r="F2979" s="9">
        <v>50</v>
      </c>
      <c r="G2979" s="9">
        <v>552</v>
      </c>
      <c r="H2979" s="5" t="s">
        <v>20</v>
      </c>
      <c r="I2979" s="5" t="s">
        <v>7224</v>
      </c>
      <c r="J2979" s="12" t="str">
        <f>HYPERLINK("https://www.boe.es/gazeta/dias/1804/06/22/pdfs/GMD-1804-50.pdf#page=6","Abrir facsímil")</f>
        <v>Abrir facsímil</v>
      </c>
      <c r="K2979" s="15" t="s">
        <v>22</v>
      </c>
    </row>
    <row r="2980" spans="1:11" ht="42" customHeight="1">
      <c r="A2980" s="4" t="s">
        <v>7225</v>
      </c>
      <c r="B2980" s="5" t="s">
        <v>7225</v>
      </c>
      <c r="C2980" s="5" t="s">
        <v>27</v>
      </c>
      <c r="D2980" s="5" t="s">
        <v>28</v>
      </c>
      <c r="E2980" s="5" t="s">
        <v>272</v>
      </c>
      <c r="F2980" s="9">
        <v>30</v>
      </c>
      <c r="G2980" s="9">
        <v>330</v>
      </c>
      <c r="H2980" s="5" t="s">
        <v>20</v>
      </c>
      <c r="I2980" s="5" t="s">
        <v>7226</v>
      </c>
      <c r="J2980" s="12" t="str">
        <f>HYPERLINK("https://www.boe.es/gazeta/dias/1804/04/13/pdfs/GMD-1804-30.pdf#page=8","Abrir facsímil")</f>
        <v>Abrir facsímil</v>
      </c>
      <c r="K2980" s="15" t="s">
        <v>22</v>
      </c>
    </row>
    <row r="2981" spans="1:11" ht="42" customHeight="1">
      <c r="A2981" s="4" t="s">
        <v>7227</v>
      </c>
      <c r="B2981" s="5" t="s">
        <v>7228</v>
      </c>
      <c r="C2981" s="5" t="s">
        <v>27</v>
      </c>
      <c r="D2981" s="5" t="s">
        <v>28</v>
      </c>
      <c r="E2981" s="5" t="s">
        <v>43</v>
      </c>
      <c r="F2981" s="9">
        <v>84</v>
      </c>
      <c r="G2981" s="9">
        <v>929</v>
      </c>
      <c r="H2981" s="5" t="s">
        <v>20</v>
      </c>
      <c r="I2981" s="5" t="s">
        <v>7229</v>
      </c>
      <c r="J2981" s="12" t="str">
        <f>HYPERLINK("https://www.boe.es/gazeta/dias/1804/10/19/pdfs/GMD-1804-84.pdf#page=7","Abrir facsímil")</f>
        <v>Abrir facsímil</v>
      </c>
      <c r="K2981" s="15" t="s">
        <v>22</v>
      </c>
    </row>
    <row r="2982" spans="1:11" ht="42" customHeight="1">
      <c r="A2982" s="4" t="s">
        <v>7230</v>
      </c>
      <c r="B2982" s="5" t="s">
        <v>7230</v>
      </c>
      <c r="C2982" s="5" t="s">
        <v>27</v>
      </c>
      <c r="D2982" s="5" t="s">
        <v>28</v>
      </c>
      <c r="E2982" s="5" t="s">
        <v>794</v>
      </c>
      <c r="F2982" s="9">
        <v>42</v>
      </c>
      <c r="G2982" s="9">
        <v>473</v>
      </c>
      <c r="H2982" s="5" t="s">
        <v>20</v>
      </c>
      <c r="I2982" s="5" t="s">
        <v>7231</v>
      </c>
      <c r="J2982" s="12" t="str">
        <f>HYPERLINK("https://www.boe.es/gazeta/dias/1804/05/25/pdfs/GMD-1804-42.pdf#page=11","Abrir facsímil")</f>
        <v>Abrir facsímil</v>
      </c>
      <c r="K2982" s="15" t="s">
        <v>22</v>
      </c>
    </row>
    <row r="2983" spans="1:11" ht="42" customHeight="1">
      <c r="A2983" s="4" t="s">
        <v>7232</v>
      </c>
      <c r="B2983" s="5" t="s">
        <v>7232</v>
      </c>
      <c r="C2983" s="5" t="s">
        <v>17</v>
      </c>
      <c r="D2983" s="5" t="s">
        <v>18</v>
      </c>
      <c r="E2983" s="5" t="s">
        <v>50</v>
      </c>
      <c r="F2983" s="9">
        <v>93</v>
      </c>
      <c r="G2983" s="9">
        <v>1030</v>
      </c>
      <c r="H2983" s="5" t="s">
        <v>20</v>
      </c>
      <c r="I2983" s="5" t="s">
        <v>7233</v>
      </c>
      <c r="J2983" s="12" t="str">
        <f>HYPERLINK("https://www.boe.es/gazeta/dias/1804/11/20/pdfs/GMD-1804-93.pdf#page=6","Abrir facsímil")</f>
        <v>Abrir facsímil</v>
      </c>
      <c r="K2983" s="15" t="s">
        <v>22</v>
      </c>
    </row>
    <row r="2984" spans="1:11" ht="42" customHeight="1">
      <c r="A2984" s="4" t="s">
        <v>7234</v>
      </c>
      <c r="B2984" s="5" t="s">
        <v>7234</v>
      </c>
      <c r="C2984" s="5" t="s">
        <v>27</v>
      </c>
      <c r="D2984" s="5" t="s">
        <v>28</v>
      </c>
      <c r="E2984" s="5" t="s">
        <v>67</v>
      </c>
      <c r="F2984" s="9">
        <v>59</v>
      </c>
      <c r="G2984" s="9">
        <v>654</v>
      </c>
      <c r="H2984" s="5" t="s">
        <v>20</v>
      </c>
      <c r="I2984" s="5" t="s">
        <v>7235</v>
      </c>
      <c r="J2984" s="12" t="str">
        <f>HYPERLINK("https://www.boe.es/gazeta/dias/1804/07/24/pdfs/GMD-1804-59.pdf#page=8","Abrir facsímil")</f>
        <v>Abrir facsímil</v>
      </c>
      <c r="K2984" s="15" t="s">
        <v>22</v>
      </c>
    </row>
    <row r="2985" spans="1:11" ht="42" customHeight="1">
      <c r="A2985" s="4" t="s">
        <v>7236</v>
      </c>
      <c r="B2985" s="5" t="s">
        <v>7236</v>
      </c>
      <c r="C2985" s="5" t="s">
        <v>198</v>
      </c>
      <c r="D2985" s="5" t="s">
        <v>66</v>
      </c>
      <c r="E2985" s="5" t="s">
        <v>109</v>
      </c>
      <c r="F2985" s="9">
        <v>35</v>
      </c>
      <c r="G2985" s="9">
        <v>387</v>
      </c>
      <c r="H2985" s="5" t="s">
        <v>20</v>
      </c>
      <c r="I2985" s="5" t="s">
        <v>7237</v>
      </c>
      <c r="J2985" s="12" t="str">
        <f>HYPERLINK("https://www.boe.es/gazeta/dias/1804/05/01/pdfs/GMD-1804-35.pdf#page=9","Abrir facsímil")</f>
        <v>Abrir facsímil</v>
      </c>
      <c r="K2985" s="15" t="s">
        <v>22</v>
      </c>
    </row>
    <row r="2986" spans="1:11" ht="42" customHeight="1">
      <c r="A2986" s="4" t="s">
        <v>7238</v>
      </c>
      <c r="B2986" s="5" t="s">
        <v>7238</v>
      </c>
      <c r="C2986" s="5" t="s">
        <v>27</v>
      </c>
      <c r="D2986" s="5" t="s">
        <v>28</v>
      </c>
      <c r="E2986" s="5" t="s">
        <v>427</v>
      </c>
      <c r="F2986" s="9">
        <v>80</v>
      </c>
      <c r="G2986" s="9">
        <v>889</v>
      </c>
      <c r="H2986" s="5" t="s">
        <v>20</v>
      </c>
      <c r="I2986" s="5" t="s">
        <v>7239</v>
      </c>
      <c r="J2986" s="12" t="str">
        <f>HYPERLINK("https://www.boe.es/gazeta/dias/1804/10/05/pdfs/GMD-1804-80.pdf#page=7","Abrir facsímil")</f>
        <v>Abrir facsímil</v>
      </c>
      <c r="K2986" s="15" t="s">
        <v>22</v>
      </c>
    </row>
    <row r="2987" spans="1:11" ht="42" customHeight="1">
      <c r="A2987" s="4" t="s">
        <v>7240</v>
      </c>
      <c r="B2987" s="5" t="s">
        <v>7240</v>
      </c>
      <c r="C2987" s="5" t="s">
        <v>17</v>
      </c>
      <c r="D2987" s="5" t="s">
        <v>18</v>
      </c>
      <c r="E2987" s="5" t="s">
        <v>547</v>
      </c>
      <c r="F2987" s="9">
        <v>68</v>
      </c>
      <c r="G2987" s="9">
        <v>763</v>
      </c>
      <c r="H2987" s="5" t="s">
        <v>20</v>
      </c>
      <c r="I2987" s="5" t="s">
        <v>7241</v>
      </c>
      <c r="J2987" s="12" t="str">
        <f>HYPERLINK("https://www.boe.es/gazeta/dias/1804/08/24/pdfs/GMD-1804-68.pdf#page=9","Abrir facsímil")</f>
        <v>Abrir facsímil</v>
      </c>
      <c r="K2987" s="15" t="s">
        <v>22</v>
      </c>
    </row>
    <row r="2988" spans="1:11" ht="42" customHeight="1">
      <c r="A2988" s="4" t="s">
        <v>7242</v>
      </c>
      <c r="B2988" s="5" t="s">
        <v>7242</v>
      </c>
      <c r="C2988" s="5" t="s">
        <v>120</v>
      </c>
      <c r="D2988" s="5" t="s">
        <v>121</v>
      </c>
      <c r="E2988" s="5" t="s">
        <v>33</v>
      </c>
      <c r="F2988" s="9">
        <v>48</v>
      </c>
      <c r="G2988" s="9" t="s">
        <v>98</v>
      </c>
      <c r="H2988" s="5" t="s">
        <v>20</v>
      </c>
      <c r="I2988" s="5" t="s">
        <v>7243</v>
      </c>
      <c r="J2988" s="12" t="str">
        <f>HYPERLINK("https://www.boe.es/gazeta/dias/1804/06/15/pdfs/GMD-C-1804-48.pdf#page=1","Abrir facsímil")</f>
        <v>Abrir facsímil</v>
      </c>
      <c r="K2988" s="15" t="s">
        <v>22</v>
      </c>
    </row>
    <row r="2989" spans="1:11" ht="42" customHeight="1">
      <c r="A2989" s="4" t="s">
        <v>7244</v>
      </c>
      <c r="B2989" s="5" t="s">
        <v>7244</v>
      </c>
      <c r="C2989" s="5" t="s">
        <v>27</v>
      </c>
      <c r="D2989" s="5" t="s">
        <v>28</v>
      </c>
      <c r="E2989" s="5" t="s">
        <v>143</v>
      </c>
      <c r="F2989" s="9">
        <v>87</v>
      </c>
      <c r="G2989" s="9">
        <v>963</v>
      </c>
      <c r="H2989" s="5" t="s">
        <v>20</v>
      </c>
      <c r="I2989" s="5" t="s">
        <v>7245</v>
      </c>
      <c r="J2989" s="12" t="str">
        <f>HYPERLINK("https://www.boe.es/gazeta/dias/1804/10/30/pdfs/GMD-1804-87.pdf#page=7","Abrir facsímil")</f>
        <v>Abrir facsímil</v>
      </c>
      <c r="K2989" s="15" t="s">
        <v>22</v>
      </c>
    </row>
    <row r="2990" spans="1:11" ht="42" customHeight="1">
      <c r="A2990" s="4" t="s">
        <v>7246</v>
      </c>
      <c r="B2990" s="5" t="s">
        <v>7246</v>
      </c>
      <c r="C2990" s="5" t="s">
        <v>85</v>
      </c>
      <c r="D2990" s="5" t="s">
        <v>86</v>
      </c>
      <c r="E2990" s="5" t="s">
        <v>367</v>
      </c>
      <c r="F2990" s="9">
        <v>64</v>
      </c>
      <c r="G2990" s="9">
        <v>715</v>
      </c>
      <c r="H2990" s="5" t="s">
        <v>20</v>
      </c>
      <c r="I2990" s="5" t="s">
        <v>7247</v>
      </c>
      <c r="J2990" s="12" t="str">
        <f>HYPERLINK("https://www.boe.es/gazeta/dias/1804/08/10/pdfs/GMD-1804-64.pdf#page=9","Abrir facsímil")</f>
        <v>Abrir facsímil</v>
      </c>
      <c r="K2990" s="15" t="s">
        <v>22</v>
      </c>
    </row>
    <row r="2991" spans="1:11" ht="42" customHeight="1">
      <c r="A2991" s="4" t="s">
        <v>7246</v>
      </c>
      <c r="B2991" s="5" t="s">
        <v>7246</v>
      </c>
      <c r="C2991" s="5" t="s">
        <v>85</v>
      </c>
      <c r="D2991" s="5" t="s">
        <v>86</v>
      </c>
      <c r="E2991" s="5" t="s">
        <v>367</v>
      </c>
      <c r="F2991" s="9">
        <v>64</v>
      </c>
      <c r="G2991" s="9">
        <v>716</v>
      </c>
      <c r="H2991" s="5" t="s">
        <v>20</v>
      </c>
      <c r="I2991" s="5" t="s">
        <v>7248</v>
      </c>
      <c r="J2991" s="12" t="str">
        <f>HYPERLINK("https://www.boe.es/gazeta/dias/1804/08/10/pdfs/GMD-1804-64.pdf#page=10","Abrir facsímil")</f>
        <v>Abrir facsímil</v>
      </c>
      <c r="K2991" s="15" t="s">
        <v>22</v>
      </c>
    </row>
    <row r="2992" spans="1:11" ht="42" customHeight="1">
      <c r="A2992" s="4" t="s">
        <v>7249</v>
      </c>
      <c r="B2992" s="5" t="s">
        <v>7249</v>
      </c>
      <c r="C2992" s="5" t="s">
        <v>17</v>
      </c>
      <c r="D2992" s="5" t="s">
        <v>18</v>
      </c>
      <c r="E2992" s="5" t="s">
        <v>71</v>
      </c>
      <c r="F2992" s="9">
        <v>99</v>
      </c>
      <c r="G2992" s="9">
        <v>1106</v>
      </c>
      <c r="H2992" s="5" t="s">
        <v>20</v>
      </c>
      <c r="I2992" s="5" t="s">
        <v>7250</v>
      </c>
      <c r="J2992" s="12" t="str">
        <f>HYPERLINK("https://www.boe.es/gazeta/dias/1804/12/11/pdfs/GMD-1804-99.pdf#page=6","Abrir facsímil")</f>
        <v>Abrir facsímil</v>
      </c>
      <c r="K2992" s="15" t="s">
        <v>22</v>
      </c>
    </row>
    <row r="2993" spans="1:11" ht="42" customHeight="1">
      <c r="A2993" s="4" t="s">
        <v>7251</v>
      </c>
      <c r="B2993" s="5" t="s">
        <v>7251</v>
      </c>
      <c r="C2993" s="5" t="s">
        <v>27</v>
      </c>
      <c r="D2993" s="5" t="s">
        <v>28</v>
      </c>
      <c r="E2993" s="5" t="s">
        <v>226</v>
      </c>
      <c r="F2993" s="9">
        <v>17</v>
      </c>
      <c r="G2993" s="9">
        <v>187</v>
      </c>
      <c r="H2993" s="5" t="s">
        <v>20</v>
      </c>
      <c r="I2993" s="5" t="s">
        <v>7252</v>
      </c>
      <c r="J2993" s="12" t="str">
        <f>HYPERLINK("https://www.boe.es/gazeta/dias/1804/02/28/pdfs/GMD-1804-17.pdf#page=7","Abrir facsímil")</f>
        <v>Abrir facsímil</v>
      </c>
      <c r="K2993" s="15" t="s">
        <v>22</v>
      </c>
    </row>
    <row r="2994" spans="1:11" ht="42" customHeight="1">
      <c r="A2994" s="4" t="s">
        <v>7253</v>
      </c>
      <c r="B2994" s="5" t="s">
        <v>7253</v>
      </c>
      <c r="C2994" s="5" t="s">
        <v>27</v>
      </c>
      <c r="D2994" s="5" t="s">
        <v>28</v>
      </c>
      <c r="E2994" s="5" t="s">
        <v>77</v>
      </c>
      <c r="F2994" s="9">
        <v>32</v>
      </c>
      <c r="G2994" s="9">
        <v>356</v>
      </c>
      <c r="H2994" s="5" t="s">
        <v>20</v>
      </c>
      <c r="I2994" s="5" t="s">
        <v>7254</v>
      </c>
      <c r="J2994" s="12" t="str">
        <f>HYPERLINK("https://www.boe.es/gazeta/dias/1804/04/20/pdfs/GMD-1804-32.pdf#page=10","Abrir facsímil")</f>
        <v>Abrir facsímil</v>
      </c>
      <c r="K2994" s="15" t="s">
        <v>22</v>
      </c>
    </row>
    <row r="2995" spans="1:11" ht="42" customHeight="1">
      <c r="A2995" s="4" t="s">
        <v>7255</v>
      </c>
      <c r="B2995" s="5" t="s">
        <v>7255</v>
      </c>
      <c r="C2995" s="5" t="s">
        <v>17</v>
      </c>
      <c r="D2995" s="5" t="s">
        <v>18</v>
      </c>
      <c r="E2995" s="5" t="s">
        <v>67</v>
      </c>
      <c r="F2995" s="9">
        <v>59</v>
      </c>
      <c r="G2995" s="9">
        <v>653</v>
      </c>
      <c r="H2995" s="5" t="s">
        <v>20</v>
      </c>
      <c r="I2995" s="5" t="s">
        <v>7256</v>
      </c>
      <c r="J2995" s="12" t="str">
        <f>HYPERLINK("https://www.boe.es/gazeta/dias/1804/07/24/pdfs/GMD-1804-59.pdf#page=7","Abrir facsímil")</f>
        <v>Abrir facsímil</v>
      </c>
      <c r="K2995" s="15" t="s">
        <v>22</v>
      </c>
    </row>
    <row r="2996" spans="1:11" ht="42" customHeight="1">
      <c r="A2996" s="4" t="s">
        <v>7257</v>
      </c>
      <c r="B2996" s="5" t="s">
        <v>7257</v>
      </c>
      <c r="C2996" s="5" t="s">
        <v>17</v>
      </c>
      <c r="D2996" s="5" t="s">
        <v>18</v>
      </c>
      <c r="E2996" s="5" t="s">
        <v>75</v>
      </c>
      <c r="F2996" s="9">
        <v>16</v>
      </c>
      <c r="G2996" s="9">
        <v>173</v>
      </c>
      <c r="H2996" s="5" t="s">
        <v>20</v>
      </c>
      <c r="I2996" s="5" t="s">
        <v>7258</v>
      </c>
      <c r="J2996" s="12" t="str">
        <f>HYPERLINK("https://www.boe.es/gazeta/dias/1804/02/24/pdfs/GMD-1804-16.pdf#page=9","Abrir facsímil")</f>
        <v>Abrir facsímil</v>
      </c>
      <c r="K2996" s="15" t="s">
        <v>22</v>
      </c>
    </row>
    <row r="2997" spans="1:11" ht="42" customHeight="1">
      <c r="A2997" s="4" t="s">
        <v>7259</v>
      </c>
      <c r="B2997" s="5" t="s">
        <v>7259</v>
      </c>
      <c r="C2997" s="5" t="s">
        <v>17</v>
      </c>
      <c r="D2997" s="5" t="s">
        <v>18</v>
      </c>
      <c r="E2997" s="5" t="s">
        <v>71</v>
      </c>
      <c r="F2997" s="9">
        <v>99</v>
      </c>
      <c r="G2997" s="9">
        <v>1107</v>
      </c>
      <c r="H2997" s="5" t="s">
        <v>20</v>
      </c>
      <c r="I2997" s="5" t="s">
        <v>7260</v>
      </c>
      <c r="J2997" s="12" t="str">
        <f>HYPERLINK("https://www.boe.es/gazeta/dias/1804/12/11/pdfs/GMD-1804-99.pdf#page=7","Abrir facsímil")</f>
        <v>Abrir facsímil</v>
      </c>
      <c r="K2997" s="15" t="s">
        <v>22</v>
      </c>
    </row>
    <row r="2998" spans="1:11" ht="42" customHeight="1">
      <c r="A2998" s="4" t="s">
        <v>7261</v>
      </c>
      <c r="B2998" s="5" t="s">
        <v>7261</v>
      </c>
      <c r="C2998" s="5" t="s">
        <v>17</v>
      </c>
      <c r="D2998" s="5" t="s">
        <v>18</v>
      </c>
      <c r="E2998" s="5" t="s">
        <v>367</v>
      </c>
      <c r="F2998" s="9">
        <v>64</v>
      </c>
      <c r="G2998" s="9">
        <v>715</v>
      </c>
      <c r="H2998" s="5" t="s">
        <v>20</v>
      </c>
      <c r="I2998" s="5" t="s">
        <v>7262</v>
      </c>
      <c r="J2998" s="12" t="str">
        <f>HYPERLINK("https://www.boe.es/gazeta/dias/1804/08/10/pdfs/GMD-1804-64.pdf#page=9","Abrir facsímil")</f>
        <v>Abrir facsímil</v>
      </c>
      <c r="K2998" s="15" t="s">
        <v>22</v>
      </c>
    </row>
    <row r="2999" spans="1:11" ht="42" customHeight="1">
      <c r="A2999" s="4" t="s">
        <v>7263</v>
      </c>
      <c r="B2999" s="5" t="s">
        <v>7263</v>
      </c>
      <c r="C2999" s="5" t="s">
        <v>27</v>
      </c>
      <c r="D2999" s="5" t="s">
        <v>28</v>
      </c>
      <c r="E2999" s="5" t="s">
        <v>67</v>
      </c>
      <c r="F2999" s="9">
        <v>59</v>
      </c>
      <c r="G2999" s="9">
        <v>652</v>
      </c>
      <c r="H2999" s="5" t="s">
        <v>20</v>
      </c>
      <c r="I2999" s="5" t="s">
        <v>7264</v>
      </c>
      <c r="J2999" s="12" t="str">
        <f>HYPERLINK("https://www.boe.es/gazeta/dias/1804/07/24/pdfs/GMD-1804-59.pdf#page=6","Abrir facsímil")</f>
        <v>Abrir facsímil</v>
      </c>
      <c r="K2999" s="15" t="s">
        <v>22</v>
      </c>
    </row>
    <row r="3000" spans="1:11" ht="42" customHeight="1">
      <c r="A3000" s="4" t="s">
        <v>7265</v>
      </c>
      <c r="B3000" s="5" t="s">
        <v>7265</v>
      </c>
      <c r="C3000" s="5" t="s">
        <v>27</v>
      </c>
      <c r="D3000" s="5" t="s">
        <v>28</v>
      </c>
      <c r="E3000" s="5" t="s">
        <v>151</v>
      </c>
      <c r="F3000" s="9">
        <v>13</v>
      </c>
      <c r="G3000" s="9">
        <v>142</v>
      </c>
      <c r="H3000" s="5" t="s">
        <v>20</v>
      </c>
      <c r="I3000" s="5" t="s">
        <v>7266</v>
      </c>
      <c r="J3000" s="12" t="str">
        <f>HYPERLINK("https://www.boe.es/gazeta/dias/1804/02/14/pdfs/GMD-1804-13.pdf#page=6","Abrir facsímil")</f>
        <v>Abrir facsímil</v>
      </c>
      <c r="K3000" s="15" t="s">
        <v>22</v>
      </c>
    </row>
    <row r="3001" spans="1:11" ht="42" customHeight="1">
      <c r="A3001" s="4" t="s">
        <v>7267</v>
      </c>
      <c r="B3001" s="5" t="s">
        <v>7267</v>
      </c>
      <c r="C3001" s="5" t="s">
        <v>27</v>
      </c>
      <c r="D3001" s="5" t="s">
        <v>28</v>
      </c>
      <c r="E3001" s="5" t="s">
        <v>360</v>
      </c>
      <c r="F3001" s="9">
        <v>81</v>
      </c>
      <c r="G3001" s="9">
        <v>897</v>
      </c>
      <c r="H3001" s="5" t="s">
        <v>20</v>
      </c>
      <c r="I3001" s="5" t="s">
        <v>7268</v>
      </c>
      <c r="J3001" s="12" t="str">
        <f>HYPERLINK("https://www.boe.es/gazeta/dias/1804/10/09/pdfs/GMD-1804-81.pdf#page=7","Abrir facsímil")</f>
        <v>Abrir facsímil</v>
      </c>
      <c r="K3001" s="15" t="s">
        <v>22</v>
      </c>
    </row>
    <row r="3002" spans="1:11" ht="42" customHeight="1">
      <c r="A3002" s="4" t="s">
        <v>7269</v>
      </c>
      <c r="B3002" s="5" t="s">
        <v>7269</v>
      </c>
      <c r="C3002" s="5" t="s">
        <v>17</v>
      </c>
      <c r="D3002" s="5" t="s">
        <v>18</v>
      </c>
      <c r="E3002" s="5" t="s">
        <v>547</v>
      </c>
      <c r="F3002" s="9">
        <v>68</v>
      </c>
      <c r="G3002" s="9">
        <v>764</v>
      </c>
      <c r="H3002" s="5" t="s">
        <v>20</v>
      </c>
      <c r="I3002" s="5" t="s">
        <v>7270</v>
      </c>
      <c r="J3002" s="12" t="str">
        <f>HYPERLINK("https://www.boe.es/gazeta/dias/1804/08/24/pdfs/GMD-1804-68.pdf#page=10","Abrir facsímil")</f>
        <v>Abrir facsímil</v>
      </c>
      <c r="K3002" s="15" t="s">
        <v>22</v>
      </c>
    </row>
    <row r="3003" spans="1:11" ht="42" customHeight="1">
      <c r="A3003" s="4" t="s">
        <v>7271</v>
      </c>
      <c r="B3003" s="5" t="s">
        <v>7271</v>
      </c>
      <c r="C3003" s="5" t="s">
        <v>120</v>
      </c>
      <c r="D3003" s="5" t="s">
        <v>121</v>
      </c>
      <c r="E3003" s="5" t="s">
        <v>33</v>
      </c>
      <c r="F3003" s="9">
        <v>48</v>
      </c>
      <c r="G3003" s="9" t="s">
        <v>122</v>
      </c>
      <c r="H3003" s="5" t="s">
        <v>20</v>
      </c>
      <c r="I3003" s="5" t="s">
        <v>7272</v>
      </c>
      <c r="J3003" s="12" t="str">
        <f>HYPERLINK("https://www.boe.es/gazeta/dias/1804/06/15/pdfs/GMD-C-1804-48.pdf#page=3","Abrir facsímil")</f>
        <v>Abrir facsímil</v>
      </c>
      <c r="K3003" s="15" t="s">
        <v>22</v>
      </c>
    </row>
    <row r="3004" spans="1:11" ht="42" customHeight="1">
      <c r="A3004" s="4" t="s">
        <v>7271</v>
      </c>
      <c r="B3004" s="5" t="s">
        <v>7271</v>
      </c>
      <c r="C3004" s="5" t="s">
        <v>17</v>
      </c>
      <c r="D3004" s="5" t="s">
        <v>18</v>
      </c>
      <c r="E3004" s="5" t="s">
        <v>71</v>
      </c>
      <c r="F3004" s="9">
        <v>99</v>
      </c>
      <c r="G3004" s="9">
        <v>1106</v>
      </c>
      <c r="H3004" s="5" t="s">
        <v>20</v>
      </c>
      <c r="I3004" s="5" t="s">
        <v>7273</v>
      </c>
      <c r="J3004" s="12" t="str">
        <f>HYPERLINK("https://www.boe.es/gazeta/dias/1804/12/11/pdfs/GMD-1804-99.pdf#page=6","Abrir facsímil")</f>
        <v>Abrir facsímil</v>
      </c>
      <c r="K3004" s="15" t="s">
        <v>22</v>
      </c>
    </row>
    <row r="3005" spans="1:11" ht="42" customHeight="1">
      <c r="A3005" s="4" t="s">
        <v>7274</v>
      </c>
      <c r="B3005" s="5" t="s">
        <v>7274</v>
      </c>
      <c r="C3005" s="5" t="s">
        <v>17</v>
      </c>
      <c r="D3005" s="5" t="s">
        <v>18</v>
      </c>
      <c r="E3005" s="5" t="s">
        <v>71</v>
      </c>
      <c r="F3005" s="9">
        <v>99</v>
      </c>
      <c r="G3005" s="9">
        <v>1106</v>
      </c>
      <c r="H3005" s="5" t="s">
        <v>20</v>
      </c>
      <c r="I3005" s="5" t="s">
        <v>7275</v>
      </c>
      <c r="J3005" s="12" t="str">
        <f>HYPERLINK("https://www.boe.es/gazeta/dias/1804/12/11/pdfs/GMD-1804-99.pdf#page=6","Abrir facsímil")</f>
        <v>Abrir facsímil</v>
      </c>
      <c r="K3005" s="15" t="s">
        <v>22</v>
      </c>
    </row>
    <row r="3006" spans="1:11" ht="42" customHeight="1">
      <c r="A3006" s="4" t="s">
        <v>7276</v>
      </c>
      <c r="B3006" s="5" t="s">
        <v>7276</v>
      </c>
      <c r="C3006" s="5" t="s">
        <v>27</v>
      </c>
      <c r="D3006" s="5" t="s">
        <v>28</v>
      </c>
      <c r="E3006" s="5" t="s">
        <v>308</v>
      </c>
      <c r="F3006" s="9">
        <v>96</v>
      </c>
      <c r="G3006" s="9">
        <v>1068</v>
      </c>
      <c r="H3006" s="5" t="s">
        <v>20</v>
      </c>
      <c r="I3006" s="5" t="s">
        <v>7277</v>
      </c>
      <c r="J3006" s="12" t="str">
        <f>HYPERLINK("https://www.boe.es/gazeta/dias/1804/11/30/pdfs/GMD-1804-96.pdf#page=8","Abrir facsímil")</f>
        <v>Abrir facsímil</v>
      </c>
      <c r="K3006" s="15" t="s">
        <v>22</v>
      </c>
    </row>
    <row r="3007" spans="1:11" ht="42" customHeight="1">
      <c r="A3007" s="4" t="s">
        <v>7278</v>
      </c>
      <c r="B3007" s="5" t="s">
        <v>7278</v>
      </c>
      <c r="C3007" s="5" t="s">
        <v>27</v>
      </c>
      <c r="D3007" s="5" t="s">
        <v>28</v>
      </c>
      <c r="E3007" s="5" t="s">
        <v>199</v>
      </c>
      <c r="F3007" s="9">
        <v>46</v>
      </c>
      <c r="G3007" s="9">
        <v>512</v>
      </c>
      <c r="H3007" s="5" t="s">
        <v>20</v>
      </c>
      <c r="I3007" s="5" t="s">
        <v>7279</v>
      </c>
      <c r="J3007" s="12" t="str">
        <f>HYPERLINK("https://www.boe.es/gazeta/dias/1804/06/08/pdfs/GMD-1804-46.pdf#page=10","Abrir facsímil")</f>
        <v>Abrir facsímil</v>
      </c>
      <c r="K3007" s="15" t="s">
        <v>22</v>
      </c>
    </row>
    <row r="3008" spans="1:11" ht="42" customHeight="1">
      <c r="A3008" s="4" t="s">
        <v>7280</v>
      </c>
      <c r="B3008" s="5" t="s">
        <v>7280</v>
      </c>
      <c r="C3008" s="5" t="s">
        <v>27</v>
      </c>
      <c r="D3008" s="5" t="s">
        <v>28</v>
      </c>
      <c r="E3008" s="5" t="s">
        <v>199</v>
      </c>
      <c r="F3008" s="9">
        <v>46</v>
      </c>
      <c r="G3008" s="9">
        <v>512</v>
      </c>
      <c r="H3008" s="5" t="s">
        <v>20</v>
      </c>
      <c r="I3008" s="5" t="s">
        <v>7281</v>
      </c>
      <c r="J3008" s="12" t="str">
        <f>HYPERLINK("https://www.boe.es/gazeta/dias/1804/06/08/pdfs/GMD-1804-46.pdf#page=10","Abrir facsímil")</f>
        <v>Abrir facsímil</v>
      </c>
      <c r="K3008" s="15" t="s">
        <v>22</v>
      </c>
    </row>
    <row r="3009" spans="1:11" ht="42" customHeight="1">
      <c r="A3009" s="4" t="s">
        <v>7280</v>
      </c>
      <c r="B3009" s="5" t="s">
        <v>7280</v>
      </c>
      <c r="C3009" s="5" t="s">
        <v>27</v>
      </c>
      <c r="D3009" s="5" t="s">
        <v>28</v>
      </c>
      <c r="E3009" s="5" t="s">
        <v>526</v>
      </c>
      <c r="F3009" s="9">
        <v>95</v>
      </c>
      <c r="G3009" s="9">
        <v>1056</v>
      </c>
      <c r="H3009" s="5" t="s">
        <v>20</v>
      </c>
      <c r="I3009" s="5" t="s">
        <v>7282</v>
      </c>
      <c r="J3009" s="12" t="str">
        <f>HYPERLINK("https://www.boe.es/gazeta/dias/1804/11/27/pdfs/GMD-1804-95.pdf#page=8","Abrir facsímil")</f>
        <v>Abrir facsímil</v>
      </c>
      <c r="K3009" s="15" t="s">
        <v>22</v>
      </c>
    </row>
    <row r="3010" spans="1:11" ht="42" customHeight="1">
      <c r="A3010" s="4" t="s">
        <v>7283</v>
      </c>
      <c r="B3010" s="5" t="s">
        <v>7283</v>
      </c>
      <c r="C3010" s="5" t="s">
        <v>17</v>
      </c>
      <c r="D3010" s="5" t="s">
        <v>18</v>
      </c>
      <c r="E3010" s="5" t="s">
        <v>111</v>
      </c>
      <c r="F3010" s="9">
        <v>40</v>
      </c>
      <c r="G3010" s="9">
        <v>448</v>
      </c>
      <c r="H3010" s="5" t="s">
        <v>20</v>
      </c>
      <c r="I3010" s="5" t="s">
        <v>7284</v>
      </c>
      <c r="J3010" s="12" t="str">
        <f>HYPERLINK("https://www.boe.es/gazeta/dias/1804/05/18/pdfs/GMD-1804-40.pdf#page=10","Abrir facsímil")</f>
        <v>Abrir facsímil</v>
      </c>
      <c r="K3010" s="15" t="s">
        <v>22</v>
      </c>
    </row>
    <row r="3011" spans="1:11" ht="42" customHeight="1">
      <c r="A3011" s="4" t="s">
        <v>7285</v>
      </c>
      <c r="B3011" s="5" t="s">
        <v>7285</v>
      </c>
      <c r="C3011" s="5" t="s">
        <v>27</v>
      </c>
      <c r="D3011" s="5" t="s">
        <v>28</v>
      </c>
      <c r="E3011" s="5" t="s">
        <v>191</v>
      </c>
      <c r="F3011" s="9">
        <v>101</v>
      </c>
      <c r="G3011" s="9">
        <v>1128</v>
      </c>
      <c r="H3011" s="5" t="s">
        <v>20</v>
      </c>
      <c r="I3011" s="5" t="s">
        <v>7286</v>
      </c>
      <c r="J3011" s="12" t="str">
        <f>HYPERLINK("https://www.boe.es/gazeta/dias/1804/12/18/pdfs/GMD-1804-101.pdf#page=8","Abrir facsímil")</f>
        <v>Abrir facsímil</v>
      </c>
      <c r="K3011" s="15" t="s">
        <v>22</v>
      </c>
    </row>
    <row r="3012" spans="1:11" ht="42" customHeight="1">
      <c r="A3012" s="4" t="s">
        <v>7287</v>
      </c>
      <c r="B3012" s="5" t="s">
        <v>7287</v>
      </c>
      <c r="C3012" s="5" t="s">
        <v>27</v>
      </c>
      <c r="D3012" s="5" t="s">
        <v>28</v>
      </c>
      <c r="E3012" s="5" t="s">
        <v>308</v>
      </c>
      <c r="F3012" s="9">
        <v>96</v>
      </c>
      <c r="G3012" s="9">
        <v>1067</v>
      </c>
      <c r="H3012" s="5" t="s">
        <v>20</v>
      </c>
      <c r="I3012" s="5" t="s">
        <v>7288</v>
      </c>
      <c r="J3012" s="12" t="str">
        <f>HYPERLINK("https://www.boe.es/gazeta/dias/1804/11/30/pdfs/GMD-1804-96.pdf#page=7","Abrir facsímil")</f>
        <v>Abrir facsímil</v>
      </c>
      <c r="K3012" s="15" t="s">
        <v>22</v>
      </c>
    </row>
    <row r="3013" spans="1:11" ht="42" customHeight="1">
      <c r="A3013" s="4" t="s">
        <v>7289</v>
      </c>
      <c r="B3013" s="5" t="s">
        <v>7290</v>
      </c>
      <c r="C3013" s="5" t="s">
        <v>27</v>
      </c>
      <c r="D3013" s="5" t="s">
        <v>28</v>
      </c>
      <c r="E3013" s="5" t="s">
        <v>67</v>
      </c>
      <c r="F3013" s="9">
        <v>59</v>
      </c>
      <c r="G3013" s="9">
        <v>653</v>
      </c>
      <c r="H3013" s="5" t="s">
        <v>20</v>
      </c>
      <c r="I3013" s="5" t="s">
        <v>7291</v>
      </c>
      <c r="J3013" s="12" t="str">
        <f>HYPERLINK("https://www.boe.es/gazeta/dias/1804/07/24/pdfs/GMD-1804-59.pdf#page=7","Abrir facsímil")</f>
        <v>Abrir facsímil</v>
      </c>
      <c r="K3013" s="15" t="s">
        <v>22</v>
      </c>
    </row>
    <row r="3014" spans="1:11" ht="42" customHeight="1">
      <c r="A3014" s="4" t="s">
        <v>7292</v>
      </c>
      <c r="B3014" s="5" t="s">
        <v>7292</v>
      </c>
      <c r="C3014" s="5" t="s">
        <v>198</v>
      </c>
      <c r="D3014" s="5" t="s">
        <v>66</v>
      </c>
      <c r="E3014" s="5" t="s">
        <v>77</v>
      </c>
      <c r="F3014" s="9">
        <v>32</v>
      </c>
      <c r="G3014" s="9">
        <v>358</v>
      </c>
      <c r="H3014" s="5" t="s">
        <v>20</v>
      </c>
      <c r="I3014" s="5" t="s">
        <v>7293</v>
      </c>
      <c r="J3014" s="12" t="str">
        <f>HYPERLINK("https://www.boe.es/gazeta/dias/1804/04/20/pdfs/GMD-1804-32.pdf#page=12","Abrir facsímil")</f>
        <v>Abrir facsímil</v>
      </c>
      <c r="K3014" s="15" t="s">
        <v>22</v>
      </c>
    </row>
    <row r="3015" spans="1:11" ht="42" customHeight="1">
      <c r="A3015" s="4" t="s">
        <v>7294</v>
      </c>
      <c r="B3015" s="5" t="s">
        <v>7294</v>
      </c>
      <c r="C3015" s="5" t="s">
        <v>27</v>
      </c>
      <c r="D3015" s="5" t="s">
        <v>28</v>
      </c>
      <c r="E3015" s="5" t="s">
        <v>950</v>
      </c>
      <c r="F3015" s="9">
        <v>90</v>
      </c>
      <c r="G3015" s="9">
        <v>999</v>
      </c>
      <c r="H3015" s="5" t="s">
        <v>20</v>
      </c>
      <c r="I3015" s="5" t="s">
        <v>7295</v>
      </c>
      <c r="J3015" s="12" t="str">
        <f>HYPERLINK("https://www.boe.es/gazeta/dias/1804/11/09/pdfs/GMD-1804-90.pdf#page=7","Abrir facsímil")</f>
        <v>Abrir facsímil</v>
      </c>
      <c r="K3015" s="15" t="s">
        <v>22</v>
      </c>
    </row>
    <row r="3016" spans="1:11" ht="42" customHeight="1">
      <c r="A3016" s="4" t="s">
        <v>7296</v>
      </c>
      <c r="B3016" s="5" t="s">
        <v>7296</v>
      </c>
      <c r="C3016" s="5" t="s">
        <v>27</v>
      </c>
      <c r="D3016" s="5" t="s">
        <v>28</v>
      </c>
      <c r="E3016" s="5" t="s">
        <v>71</v>
      </c>
      <c r="F3016" s="9">
        <v>99</v>
      </c>
      <c r="G3016" s="9">
        <v>1106</v>
      </c>
      <c r="H3016" s="5" t="s">
        <v>20</v>
      </c>
      <c r="I3016" s="5" t="s">
        <v>7297</v>
      </c>
      <c r="J3016" s="12" t="str">
        <f>HYPERLINK("https://www.boe.es/gazeta/dias/1804/12/11/pdfs/GMD-1804-99.pdf#page=6","Abrir facsímil")</f>
        <v>Abrir facsímil</v>
      </c>
      <c r="K3016" s="15" t="s">
        <v>22</v>
      </c>
    </row>
    <row r="3017" spans="1:11" ht="42" customHeight="1">
      <c r="A3017" s="4" t="s">
        <v>7298</v>
      </c>
      <c r="B3017" s="5" t="s">
        <v>7298</v>
      </c>
      <c r="C3017" s="5" t="s">
        <v>65</v>
      </c>
      <c r="D3017" s="5" t="s">
        <v>66</v>
      </c>
      <c r="E3017" s="5" t="s">
        <v>298</v>
      </c>
      <c r="F3017" s="9">
        <v>10</v>
      </c>
      <c r="G3017" s="9">
        <v>109</v>
      </c>
      <c r="H3017" s="5" t="s">
        <v>20</v>
      </c>
      <c r="I3017" s="5" t="s">
        <v>7299</v>
      </c>
      <c r="J3017" s="12" t="str">
        <f>HYPERLINK("https://www.boe.es/gazeta/dias/1804/02/03/pdfs/GMD-1804-10.pdf#page=9","Abrir facsímil")</f>
        <v>Abrir facsímil</v>
      </c>
      <c r="K3017" s="15" t="s">
        <v>22</v>
      </c>
    </row>
    <row r="3018" spans="1:11" ht="42" customHeight="1">
      <c r="A3018" s="4" t="s">
        <v>7300</v>
      </c>
      <c r="B3018" s="5" t="s">
        <v>7300</v>
      </c>
      <c r="C3018" s="5" t="s">
        <v>27</v>
      </c>
      <c r="D3018" s="5" t="s">
        <v>28</v>
      </c>
      <c r="E3018" s="5" t="s">
        <v>479</v>
      </c>
      <c r="F3018" s="9">
        <v>5</v>
      </c>
      <c r="G3018" s="9">
        <v>47</v>
      </c>
      <c r="H3018" s="5" t="s">
        <v>20</v>
      </c>
      <c r="I3018" s="5" t="s">
        <v>7301</v>
      </c>
      <c r="J3018" s="12" t="str">
        <f>HYPERLINK("https://www.boe.es/gazeta/dias/1804/01/17/pdfs/GMD-1804-5.pdf#page=7","Abrir facsímil")</f>
        <v>Abrir facsímil</v>
      </c>
      <c r="K3018" s="15" t="s">
        <v>22</v>
      </c>
    </row>
    <row r="3019" spans="1:11" ht="42" customHeight="1">
      <c r="A3019" s="4" t="s">
        <v>7302</v>
      </c>
      <c r="B3019" s="5" t="s">
        <v>7302</v>
      </c>
      <c r="C3019" s="5" t="s">
        <v>120</v>
      </c>
      <c r="D3019" s="5" t="s">
        <v>121</v>
      </c>
      <c r="E3019" s="5" t="s">
        <v>33</v>
      </c>
      <c r="F3019" s="9">
        <v>48</v>
      </c>
      <c r="G3019" s="9" t="s">
        <v>98</v>
      </c>
      <c r="H3019" s="5" t="s">
        <v>20</v>
      </c>
      <c r="I3019" s="5" t="s">
        <v>7303</v>
      </c>
      <c r="J3019" s="12" t="str">
        <f>HYPERLINK("https://www.boe.es/gazeta/dias/1804/06/15/pdfs/GMD-C-1804-48.pdf#page=1","Abrir facsímil")</f>
        <v>Abrir facsímil</v>
      </c>
      <c r="K3019" s="15" t="s">
        <v>22</v>
      </c>
    </row>
    <row r="3020" spans="1:11" ht="42" customHeight="1">
      <c r="A3020" s="4" t="s">
        <v>7304</v>
      </c>
      <c r="B3020" s="5" t="s">
        <v>7304</v>
      </c>
      <c r="C3020" s="5" t="s">
        <v>65</v>
      </c>
      <c r="D3020" s="5" t="s">
        <v>66</v>
      </c>
      <c r="E3020" s="5" t="s">
        <v>136</v>
      </c>
      <c r="F3020" s="9">
        <v>23</v>
      </c>
      <c r="G3020" s="9">
        <v>260</v>
      </c>
      <c r="H3020" s="5" t="s">
        <v>20</v>
      </c>
      <c r="I3020" s="5" t="s">
        <v>7305</v>
      </c>
      <c r="J3020" s="12" t="str">
        <f>HYPERLINK("https://www.boe.es/gazeta/dias/1804/03/20/pdfs/GMD-1804-23.pdf#page=6","Abrir facsímil")</f>
        <v>Abrir facsímil</v>
      </c>
      <c r="K3020" s="15" t="s">
        <v>22</v>
      </c>
    </row>
    <row r="3021" spans="1:11" ht="42" customHeight="1">
      <c r="A3021" s="4" t="s">
        <v>7306</v>
      </c>
      <c r="B3021" s="5" t="s">
        <v>7307</v>
      </c>
      <c r="C3021" s="5" t="s">
        <v>27</v>
      </c>
      <c r="D3021" s="5" t="s">
        <v>28</v>
      </c>
      <c r="E3021" s="5" t="s">
        <v>61</v>
      </c>
      <c r="F3021" s="9">
        <v>61</v>
      </c>
      <c r="G3021" s="9">
        <v>677</v>
      </c>
      <c r="H3021" s="5" t="s">
        <v>20</v>
      </c>
      <c r="I3021" s="5" t="s">
        <v>7308</v>
      </c>
      <c r="J3021" s="12" t="str">
        <f>HYPERLINK("https://www.boe.es/gazeta/dias/1804/07/31/pdfs/GMD-1804-61.pdf#page=7","Abrir facsímil")</f>
        <v>Abrir facsímil</v>
      </c>
      <c r="K3021" s="15" t="s">
        <v>22</v>
      </c>
    </row>
    <row r="3022" spans="1:11" ht="42" customHeight="1">
      <c r="A3022" s="4" t="s">
        <v>7309</v>
      </c>
      <c r="B3022" s="5" t="s">
        <v>7310</v>
      </c>
      <c r="C3022" s="5" t="s">
        <v>65</v>
      </c>
      <c r="D3022" s="5" t="s">
        <v>66</v>
      </c>
      <c r="E3022" s="5" t="s">
        <v>794</v>
      </c>
      <c r="F3022" s="9">
        <v>42</v>
      </c>
      <c r="G3022" s="9">
        <v>473</v>
      </c>
      <c r="H3022" s="5" t="s">
        <v>20</v>
      </c>
      <c r="I3022" s="5" t="s">
        <v>7311</v>
      </c>
      <c r="J3022" s="12" t="str">
        <f>HYPERLINK("https://www.boe.es/gazeta/dias/1804/05/25/pdfs/GMD-1804-42.pdf#page=11","Abrir facsímil")</f>
        <v>Abrir facsímil</v>
      </c>
      <c r="K3022" s="15" t="s">
        <v>22</v>
      </c>
    </row>
    <row r="3023" spans="1:11" ht="42" customHeight="1">
      <c r="A3023" s="4" t="s">
        <v>7312</v>
      </c>
      <c r="B3023" s="5" t="s">
        <v>7312</v>
      </c>
      <c r="C3023" s="5" t="s">
        <v>27</v>
      </c>
      <c r="D3023" s="5" t="s">
        <v>28</v>
      </c>
      <c r="E3023" s="5" t="s">
        <v>251</v>
      </c>
      <c r="F3023" s="9">
        <v>79</v>
      </c>
      <c r="G3023" s="9">
        <v>879</v>
      </c>
      <c r="H3023" s="5" t="s">
        <v>20</v>
      </c>
      <c r="I3023" s="5" t="s">
        <v>7313</v>
      </c>
      <c r="J3023" s="12" t="str">
        <f>HYPERLINK("https://www.boe.es/gazeta/dias/1804/10/02/pdfs/GMD-1804-79.pdf#page=9","Abrir facsímil")</f>
        <v>Abrir facsímil</v>
      </c>
      <c r="K3023" s="15" t="s">
        <v>22</v>
      </c>
    </row>
    <row r="3024" spans="1:11" ht="42" customHeight="1">
      <c r="A3024" s="4" t="s">
        <v>7314</v>
      </c>
      <c r="B3024" s="5" t="s">
        <v>7314</v>
      </c>
      <c r="C3024" s="5" t="s">
        <v>17</v>
      </c>
      <c r="D3024" s="5" t="s">
        <v>18</v>
      </c>
      <c r="E3024" s="5" t="s">
        <v>77</v>
      </c>
      <c r="F3024" s="9">
        <v>32</v>
      </c>
      <c r="G3024" s="9">
        <v>356</v>
      </c>
      <c r="H3024" s="5" t="s">
        <v>20</v>
      </c>
      <c r="I3024" s="5" t="s">
        <v>7315</v>
      </c>
      <c r="J3024" s="12" t="str">
        <f>HYPERLINK("https://www.boe.es/gazeta/dias/1804/04/20/pdfs/GMD-1804-32.pdf#page=10","Abrir facsímil")</f>
        <v>Abrir facsímil</v>
      </c>
      <c r="K3024" s="15" t="s">
        <v>22</v>
      </c>
    </row>
    <row r="3025" spans="1:11" ht="42" customHeight="1">
      <c r="A3025" s="4" t="s">
        <v>7316</v>
      </c>
      <c r="B3025" s="5" t="s">
        <v>7316</v>
      </c>
      <c r="C3025" s="5" t="s">
        <v>27</v>
      </c>
      <c r="D3025" s="5" t="s">
        <v>28</v>
      </c>
      <c r="E3025" s="5" t="s">
        <v>91</v>
      </c>
      <c r="F3025" s="9">
        <v>72</v>
      </c>
      <c r="G3025" s="9">
        <v>806</v>
      </c>
      <c r="H3025" s="5" t="s">
        <v>20</v>
      </c>
      <c r="I3025" s="5" t="s">
        <v>7317</v>
      </c>
      <c r="J3025" s="12" t="str">
        <f>HYPERLINK("https://www.boe.es/gazeta/dias/1804/09/07/pdfs/GMD-1804-72.pdf#page=8","Abrir facsímil")</f>
        <v>Abrir facsímil</v>
      </c>
      <c r="K3025" s="15" t="s">
        <v>22</v>
      </c>
    </row>
    <row r="3026" spans="1:11" ht="42" customHeight="1">
      <c r="A3026" s="4" t="s">
        <v>7318</v>
      </c>
      <c r="B3026" s="5" t="s">
        <v>7318</v>
      </c>
      <c r="C3026" s="5" t="s">
        <v>27</v>
      </c>
      <c r="D3026" s="5" t="s">
        <v>28</v>
      </c>
      <c r="E3026" s="5" t="s">
        <v>37</v>
      </c>
      <c r="F3026" s="9">
        <v>29</v>
      </c>
      <c r="G3026" s="9">
        <v>320</v>
      </c>
      <c r="H3026" s="5" t="s">
        <v>20</v>
      </c>
      <c r="I3026" s="5" t="s">
        <v>7319</v>
      </c>
      <c r="J3026" s="12" t="str">
        <f>HYPERLINK("https://www.boe.es/gazeta/dias/1804/04/10/pdfs/GMD-1804-29.pdf#page=10","Abrir facsímil")</f>
        <v>Abrir facsímil</v>
      </c>
      <c r="K3026" s="15" t="s">
        <v>22</v>
      </c>
    </row>
    <row r="3027" spans="1:11" ht="42" customHeight="1">
      <c r="A3027" s="4" t="s">
        <v>7320</v>
      </c>
      <c r="B3027" s="5" t="s">
        <v>7320</v>
      </c>
      <c r="C3027" s="5" t="s">
        <v>27</v>
      </c>
      <c r="D3027" s="5" t="s">
        <v>28</v>
      </c>
      <c r="E3027" s="5" t="s">
        <v>77</v>
      </c>
      <c r="F3027" s="9">
        <v>32</v>
      </c>
      <c r="G3027" s="9">
        <v>356</v>
      </c>
      <c r="H3027" s="5" t="s">
        <v>20</v>
      </c>
      <c r="I3027" s="5" t="s">
        <v>7321</v>
      </c>
      <c r="J3027" s="12" t="str">
        <f>HYPERLINK("https://www.boe.es/gazeta/dias/1804/04/20/pdfs/GMD-1804-32.pdf#page=10","Abrir facsímil")</f>
        <v>Abrir facsímil</v>
      </c>
      <c r="K3027" s="15" t="s">
        <v>22</v>
      </c>
    </row>
    <row r="3028" spans="1:11" ht="42" customHeight="1">
      <c r="A3028" s="4" t="s">
        <v>7322</v>
      </c>
      <c r="B3028" s="5" t="s">
        <v>7322</v>
      </c>
      <c r="C3028" s="5" t="s">
        <v>85</v>
      </c>
      <c r="D3028" s="5" t="s">
        <v>86</v>
      </c>
      <c r="E3028" s="5" t="s">
        <v>515</v>
      </c>
      <c r="F3028" s="9">
        <v>102</v>
      </c>
      <c r="G3028" s="9">
        <v>1140</v>
      </c>
      <c r="H3028" s="5" t="s">
        <v>20</v>
      </c>
      <c r="I3028" s="5" t="s">
        <v>7323</v>
      </c>
      <c r="J3028" s="12" t="str">
        <f>HYPERLINK("https://www.boe.es/gazeta/dias/1804/12/21/pdfs/GMD-1804-102.pdf#page=8","Abrir facsímil")</f>
        <v>Abrir facsímil</v>
      </c>
      <c r="K3028" s="15" t="s">
        <v>22</v>
      </c>
    </row>
    <row r="3029" spans="1:11" ht="42" customHeight="1">
      <c r="A3029" s="4" t="s">
        <v>7324</v>
      </c>
      <c r="B3029" s="5" t="s">
        <v>7324</v>
      </c>
      <c r="C3029" s="5" t="s">
        <v>65</v>
      </c>
      <c r="D3029" s="5" t="s">
        <v>66</v>
      </c>
      <c r="E3029" s="5" t="s">
        <v>421</v>
      </c>
      <c r="F3029" s="9">
        <v>47</v>
      </c>
      <c r="G3029" s="9">
        <v>527</v>
      </c>
      <c r="H3029" s="5" t="s">
        <v>20</v>
      </c>
      <c r="I3029" s="5" t="s">
        <v>7325</v>
      </c>
      <c r="J3029" s="12" t="str">
        <f>HYPERLINK("https://www.boe.es/gazeta/dias/1804/06/12/pdfs/GMD-1804-47.pdf#page=9","Abrir facsímil")</f>
        <v>Abrir facsímil</v>
      </c>
      <c r="K3029" s="15" t="s">
        <v>22</v>
      </c>
    </row>
    <row r="3030" spans="1:11" ht="42" customHeight="1">
      <c r="A3030" s="4" t="s">
        <v>7326</v>
      </c>
      <c r="B3030" s="5" t="s">
        <v>7326</v>
      </c>
      <c r="C3030" s="5" t="s">
        <v>27</v>
      </c>
      <c r="D3030" s="5" t="s">
        <v>28</v>
      </c>
      <c r="E3030" s="5" t="s">
        <v>308</v>
      </c>
      <c r="F3030" s="9">
        <v>96</v>
      </c>
      <c r="G3030" s="9">
        <v>1068</v>
      </c>
      <c r="H3030" s="5" t="s">
        <v>20</v>
      </c>
      <c r="I3030" s="5" t="s">
        <v>7327</v>
      </c>
      <c r="J3030" s="12" t="str">
        <f>HYPERLINK("https://www.boe.es/gazeta/dias/1804/11/30/pdfs/GMD-1804-96.pdf#page=8","Abrir facsímil")</f>
        <v>Abrir facsímil</v>
      </c>
      <c r="K3030" s="15" t="s">
        <v>22</v>
      </c>
    </row>
    <row r="3031" spans="1:11" ht="42" customHeight="1">
      <c r="A3031" s="4" t="s">
        <v>7328</v>
      </c>
      <c r="B3031" s="5" t="s">
        <v>7328</v>
      </c>
      <c r="C3031" s="5" t="s">
        <v>17</v>
      </c>
      <c r="D3031" s="5" t="s">
        <v>18</v>
      </c>
      <c r="E3031" s="5" t="s">
        <v>71</v>
      </c>
      <c r="F3031" s="9">
        <v>99</v>
      </c>
      <c r="G3031" s="9">
        <v>1106</v>
      </c>
      <c r="H3031" s="5" t="s">
        <v>20</v>
      </c>
      <c r="I3031" s="5" t="s">
        <v>7329</v>
      </c>
      <c r="J3031" s="12" t="str">
        <f>HYPERLINK("https://www.boe.es/gazeta/dias/1804/12/11/pdfs/GMD-1804-99.pdf#page=6","Abrir facsímil")</f>
        <v>Abrir facsímil</v>
      </c>
      <c r="K3031" s="15" t="s">
        <v>22</v>
      </c>
    </row>
    <row r="3032" spans="1:11" ht="42" customHeight="1">
      <c r="A3032" s="4" t="s">
        <v>7330</v>
      </c>
      <c r="B3032" s="5" t="s">
        <v>7330</v>
      </c>
      <c r="C3032" s="5" t="s">
        <v>17</v>
      </c>
      <c r="D3032" s="5" t="s">
        <v>18</v>
      </c>
      <c r="E3032" s="5" t="s">
        <v>794</v>
      </c>
      <c r="F3032" s="9">
        <v>42</v>
      </c>
      <c r="G3032" s="9">
        <v>471</v>
      </c>
      <c r="H3032" s="5" t="s">
        <v>20</v>
      </c>
      <c r="I3032" s="5" t="s">
        <v>7331</v>
      </c>
      <c r="J3032" s="12" t="str">
        <f>HYPERLINK("https://www.boe.es/gazeta/dias/1804/05/25/pdfs/GMD-1804-42.pdf#page=9","Abrir facsímil")</f>
        <v>Abrir facsímil</v>
      </c>
      <c r="K3032" s="15" t="s">
        <v>22</v>
      </c>
    </row>
    <row r="3033" spans="1:11" ht="42" customHeight="1">
      <c r="A3033" s="4" t="s">
        <v>7332</v>
      </c>
      <c r="B3033" s="5" t="s">
        <v>7332</v>
      </c>
      <c r="C3033" s="5" t="s">
        <v>198</v>
      </c>
      <c r="D3033" s="5" t="s">
        <v>66</v>
      </c>
      <c r="E3033" s="5" t="s">
        <v>37</v>
      </c>
      <c r="F3033" s="9">
        <v>29</v>
      </c>
      <c r="G3033" s="9">
        <v>318</v>
      </c>
      <c r="H3033" s="5" t="s">
        <v>20</v>
      </c>
      <c r="I3033" s="5" t="s">
        <v>7333</v>
      </c>
      <c r="J3033" s="12" t="str">
        <f>HYPERLINK("https://www.boe.es/gazeta/dias/1804/04/10/pdfs/GMD-1804-29.pdf#page=8","Abrir facsímil")</f>
        <v>Abrir facsímil</v>
      </c>
      <c r="K3033" s="15" t="s">
        <v>22</v>
      </c>
    </row>
    <row r="3034" spans="1:11" ht="42" customHeight="1">
      <c r="A3034" s="4" t="s">
        <v>7334</v>
      </c>
      <c r="B3034" s="5" t="s">
        <v>7334</v>
      </c>
      <c r="C3034" s="5" t="s">
        <v>27</v>
      </c>
      <c r="D3034" s="5" t="s">
        <v>28</v>
      </c>
      <c r="E3034" s="5" t="s">
        <v>37</v>
      </c>
      <c r="F3034" s="9">
        <v>29</v>
      </c>
      <c r="G3034" s="9">
        <v>320</v>
      </c>
      <c r="H3034" s="5" t="s">
        <v>20</v>
      </c>
      <c r="I3034" s="5" t="s">
        <v>7335</v>
      </c>
      <c r="J3034" s="12" t="str">
        <f>HYPERLINK("https://www.boe.es/gazeta/dias/1804/04/10/pdfs/GMD-1804-29.pdf#page=10","Abrir facsímil")</f>
        <v>Abrir facsímil</v>
      </c>
      <c r="K3034" s="15" t="s">
        <v>22</v>
      </c>
    </row>
    <row r="3035" spans="1:11" ht="42" customHeight="1">
      <c r="A3035" s="4" t="s">
        <v>7336</v>
      </c>
      <c r="B3035" s="5" t="s">
        <v>7336</v>
      </c>
      <c r="C3035" s="5" t="s">
        <v>27</v>
      </c>
      <c r="D3035" s="5" t="s">
        <v>28</v>
      </c>
      <c r="E3035" s="5" t="s">
        <v>800</v>
      </c>
      <c r="F3035" s="9">
        <v>45</v>
      </c>
      <c r="G3035" s="9">
        <v>500</v>
      </c>
      <c r="H3035" s="5" t="s">
        <v>20</v>
      </c>
      <c r="I3035" s="5" t="s">
        <v>7337</v>
      </c>
      <c r="J3035" s="12" t="str">
        <f>HYPERLINK("https://www.boe.es/gazeta/dias/1804/06/05/pdfs/GMD-1804-45.pdf#page=10","Abrir facsímil")</f>
        <v>Abrir facsímil</v>
      </c>
      <c r="K3035" s="15" t="s">
        <v>22</v>
      </c>
    </row>
    <row r="3036" spans="1:11" ht="42" customHeight="1">
      <c r="A3036" s="4" t="s">
        <v>7338</v>
      </c>
      <c r="B3036" s="5" t="s">
        <v>7338</v>
      </c>
      <c r="C3036" s="5" t="s">
        <v>17</v>
      </c>
      <c r="D3036" s="5" t="s">
        <v>18</v>
      </c>
      <c r="E3036" s="5" t="s">
        <v>378</v>
      </c>
      <c r="F3036" s="9">
        <v>65</v>
      </c>
      <c r="G3036" s="9">
        <v>731</v>
      </c>
      <c r="H3036" s="5" t="s">
        <v>20</v>
      </c>
      <c r="I3036" s="5" t="s">
        <v>7339</v>
      </c>
      <c r="J3036" s="12" t="str">
        <f>HYPERLINK("https://www.boe.es/gazeta/dias/1804/08/14/pdfs/GMD-1804-65.pdf#page=9","Abrir facsímil")</f>
        <v>Abrir facsímil</v>
      </c>
      <c r="K3036" s="15" t="s">
        <v>22</v>
      </c>
    </row>
    <row r="3037" spans="1:11" ht="42" customHeight="1">
      <c r="A3037" s="4" t="s">
        <v>7340</v>
      </c>
      <c r="B3037" s="5" t="s">
        <v>7340</v>
      </c>
      <c r="C3037" s="5" t="s">
        <v>27</v>
      </c>
      <c r="D3037" s="5" t="s">
        <v>28</v>
      </c>
      <c r="E3037" s="5" t="s">
        <v>666</v>
      </c>
      <c r="F3037" s="9">
        <v>57</v>
      </c>
      <c r="G3037" s="9">
        <v>632</v>
      </c>
      <c r="H3037" s="5" t="s">
        <v>20</v>
      </c>
      <c r="I3037" s="5" t="s">
        <v>7341</v>
      </c>
      <c r="J3037" s="12" t="str">
        <f>HYPERLINK("https://www.boe.es/gazeta/dias/1804/07/17/pdfs/GMD-1804-57.pdf#page=10","Abrir facsímil")</f>
        <v>Abrir facsímil</v>
      </c>
      <c r="K3037" s="15" t="s">
        <v>22</v>
      </c>
    </row>
    <row r="3038" spans="1:11" ht="42" customHeight="1">
      <c r="A3038" s="4" t="s">
        <v>7342</v>
      </c>
      <c r="B3038" s="5" t="s">
        <v>7342</v>
      </c>
      <c r="C3038" s="5" t="s">
        <v>27</v>
      </c>
      <c r="D3038" s="5" t="s">
        <v>28</v>
      </c>
      <c r="E3038" s="5" t="s">
        <v>258</v>
      </c>
      <c r="F3038" s="9">
        <v>14</v>
      </c>
      <c r="G3038" s="9">
        <v>153</v>
      </c>
      <c r="H3038" s="5" t="s">
        <v>20</v>
      </c>
      <c r="I3038" s="5" t="s">
        <v>7343</v>
      </c>
      <c r="J3038" s="12" t="str">
        <f>HYPERLINK("https://www.boe.es/gazeta/dias/1804/02/17/pdfs/GMD-1804-14.pdf#page=9","Abrir facsímil")</f>
        <v>Abrir facsímil</v>
      </c>
      <c r="K3038" s="15" t="s">
        <v>22</v>
      </c>
    </row>
    <row r="3039" spans="1:11" ht="42" customHeight="1">
      <c r="A3039" s="4" t="s">
        <v>7344</v>
      </c>
      <c r="B3039" s="5" t="s">
        <v>7344</v>
      </c>
      <c r="C3039" s="5" t="s">
        <v>65</v>
      </c>
      <c r="D3039" s="5" t="s">
        <v>66</v>
      </c>
      <c r="E3039" s="5" t="s">
        <v>258</v>
      </c>
      <c r="F3039" s="9">
        <v>14</v>
      </c>
      <c r="G3039" s="9">
        <v>154</v>
      </c>
      <c r="H3039" s="5" t="s">
        <v>20</v>
      </c>
      <c r="I3039" s="5" t="s">
        <v>7345</v>
      </c>
      <c r="J3039" s="12" t="str">
        <f>HYPERLINK("https://www.boe.es/gazeta/dias/1804/02/17/pdfs/GMD-1804-14.pdf#page=10","Abrir facsímil")</f>
        <v>Abrir facsímil</v>
      </c>
      <c r="K3039" s="15" t="s">
        <v>22</v>
      </c>
    </row>
    <row r="3040" spans="1:11" ht="42" customHeight="1">
      <c r="A3040" s="4" t="s">
        <v>7346</v>
      </c>
      <c r="B3040" s="5" t="s">
        <v>7346</v>
      </c>
      <c r="C3040" s="5" t="s">
        <v>27</v>
      </c>
      <c r="D3040" s="5" t="s">
        <v>28</v>
      </c>
      <c r="E3040" s="5" t="s">
        <v>91</v>
      </c>
      <c r="F3040" s="9">
        <v>72</v>
      </c>
      <c r="G3040" s="9">
        <v>806</v>
      </c>
      <c r="H3040" s="5" t="s">
        <v>20</v>
      </c>
      <c r="I3040" s="5" t="s">
        <v>7347</v>
      </c>
      <c r="J3040" s="12" t="str">
        <f>HYPERLINK("https://www.boe.es/gazeta/dias/1804/09/07/pdfs/GMD-1804-72.pdf#page=8","Abrir facsímil")</f>
        <v>Abrir facsímil</v>
      </c>
      <c r="K3040" s="15" t="s">
        <v>22</v>
      </c>
    </row>
    <row r="3041" spans="1:11" ht="42" customHeight="1">
      <c r="A3041" s="4" t="s">
        <v>7348</v>
      </c>
      <c r="B3041" s="5" t="s">
        <v>7348</v>
      </c>
      <c r="C3041" s="5" t="s">
        <v>27</v>
      </c>
      <c r="D3041" s="5" t="s">
        <v>28</v>
      </c>
      <c r="E3041" s="5" t="s">
        <v>538</v>
      </c>
      <c r="F3041" s="9">
        <v>27</v>
      </c>
      <c r="G3041" s="9">
        <v>301</v>
      </c>
      <c r="H3041" s="5" t="s">
        <v>20</v>
      </c>
      <c r="I3041" s="5" t="s">
        <v>7349</v>
      </c>
      <c r="J3041" s="12" t="str">
        <f>HYPERLINK("https://www.boe.es/gazeta/dias/1804/04/03/pdfs/GMD-1804-27.pdf#page=7","Abrir facsímil")</f>
        <v>Abrir facsímil</v>
      </c>
      <c r="K3041" s="15" t="s">
        <v>22</v>
      </c>
    </row>
    <row r="3042" spans="1:11" ht="42" customHeight="1">
      <c r="A3042" s="4" t="s">
        <v>7350</v>
      </c>
      <c r="B3042" s="5" t="s">
        <v>7350</v>
      </c>
      <c r="C3042" s="5" t="s">
        <v>27</v>
      </c>
      <c r="D3042" s="5" t="s">
        <v>28</v>
      </c>
      <c r="E3042" s="5" t="s">
        <v>484</v>
      </c>
      <c r="F3042" s="9">
        <v>53</v>
      </c>
      <c r="G3042" s="9">
        <v>590</v>
      </c>
      <c r="H3042" s="5" t="s">
        <v>20</v>
      </c>
      <c r="I3042" s="5" t="s">
        <v>7351</v>
      </c>
      <c r="J3042" s="12" t="str">
        <f>HYPERLINK("https://www.boe.es/gazeta/dias/1804/07/03/pdfs/GMD-1804-53.pdf#page=8","Abrir facsímil")</f>
        <v>Abrir facsímil</v>
      </c>
      <c r="K3042" s="15" t="s">
        <v>22</v>
      </c>
    </row>
    <row r="3043" spans="1:11" ht="42" customHeight="1">
      <c r="A3043" s="4" t="s">
        <v>7352</v>
      </c>
      <c r="B3043" s="5" t="s">
        <v>7352</v>
      </c>
      <c r="C3043" s="5" t="s">
        <v>27</v>
      </c>
      <c r="D3043" s="5" t="s">
        <v>28</v>
      </c>
      <c r="E3043" s="5" t="s">
        <v>782</v>
      </c>
      <c r="F3043" s="9">
        <v>75</v>
      </c>
      <c r="G3043" s="9">
        <v>840</v>
      </c>
      <c r="H3043" s="5" t="s">
        <v>20</v>
      </c>
      <c r="I3043" s="5" t="s">
        <v>7353</v>
      </c>
      <c r="J3043" s="12" t="str">
        <f>HYPERLINK("https://www.boe.es/gazeta/dias/1804/09/18/pdfs/GMD-1804-75.pdf#page=6","Abrir facsímil")</f>
        <v>Abrir facsímil</v>
      </c>
      <c r="K3043" s="15" t="s">
        <v>22</v>
      </c>
    </row>
    <row r="3044" spans="1:11" ht="42" customHeight="1">
      <c r="A3044" s="4" t="s">
        <v>7354</v>
      </c>
      <c r="B3044" s="5" t="s">
        <v>7354</v>
      </c>
      <c r="C3044" s="5" t="s">
        <v>17</v>
      </c>
      <c r="D3044" s="5" t="s">
        <v>18</v>
      </c>
      <c r="E3044" s="5" t="s">
        <v>388</v>
      </c>
      <c r="F3044" s="9">
        <v>18</v>
      </c>
      <c r="G3044" s="9">
        <v>198</v>
      </c>
      <c r="H3044" s="5" t="s">
        <v>20</v>
      </c>
      <c r="I3044" s="5" t="s">
        <v>7355</v>
      </c>
      <c r="J3044" s="12" t="str">
        <f>HYPERLINK("https://www.boe.es/gazeta/dias/1804/03/02/pdfs/GMD-1804-18.pdf#page=10","Abrir facsímil")</f>
        <v>Abrir facsímil</v>
      </c>
      <c r="K3044" s="15" t="s">
        <v>22</v>
      </c>
    </row>
    <row r="3045" spans="1:11" ht="42" customHeight="1">
      <c r="A3045" s="4" t="s">
        <v>7356</v>
      </c>
      <c r="B3045" s="5" t="s">
        <v>7356</v>
      </c>
      <c r="C3045" s="5" t="s">
        <v>27</v>
      </c>
      <c r="D3045" s="5" t="s">
        <v>28</v>
      </c>
      <c r="E3045" s="5" t="s">
        <v>77</v>
      </c>
      <c r="F3045" s="9">
        <v>32</v>
      </c>
      <c r="G3045" s="9">
        <v>356</v>
      </c>
      <c r="H3045" s="5" t="s">
        <v>20</v>
      </c>
      <c r="I3045" s="5" t="s">
        <v>7357</v>
      </c>
      <c r="J3045" s="12" t="str">
        <f>HYPERLINK("https://www.boe.es/gazeta/dias/1804/04/20/pdfs/GMD-1804-32.pdf#page=10","Abrir facsímil")</f>
        <v>Abrir facsímil</v>
      </c>
      <c r="K3045" s="15" t="s">
        <v>22</v>
      </c>
    </row>
    <row r="3046" spans="1:11" ht="42" customHeight="1">
      <c r="A3046" s="4" t="s">
        <v>7358</v>
      </c>
      <c r="B3046" s="5" t="s">
        <v>7358</v>
      </c>
      <c r="C3046" s="5" t="s">
        <v>27</v>
      </c>
      <c r="D3046" s="5" t="s">
        <v>28</v>
      </c>
      <c r="E3046" s="5" t="s">
        <v>67</v>
      </c>
      <c r="F3046" s="9">
        <v>59</v>
      </c>
      <c r="G3046" s="9">
        <v>653</v>
      </c>
      <c r="H3046" s="5" t="s">
        <v>20</v>
      </c>
      <c r="I3046" s="5" t="s">
        <v>7359</v>
      </c>
      <c r="J3046" s="12" t="str">
        <f>HYPERLINK("https://www.boe.es/gazeta/dias/1804/07/24/pdfs/GMD-1804-59.pdf#page=7","Abrir facsímil")</f>
        <v>Abrir facsímil</v>
      </c>
      <c r="K3046" s="15" t="s">
        <v>22</v>
      </c>
    </row>
    <row r="3047" spans="1:11" ht="42" customHeight="1">
      <c r="A3047" s="4" t="s">
        <v>7360</v>
      </c>
      <c r="B3047" s="5" t="s">
        <v>7360</v>
      </c>
      <c r="C3047" s="5" t="s">
        <v>17</v>
      </c>
      <c r="D3047" s="5" t="s">
        <v>18</v>
      </c>
      <c r="E3047" s="5" t="s">
        <v>199</v>
      </c>
      <c r="F3047" s="9">
        <v>46</v>
      </c>
      <c r="G3047" s="9">
        <v>513</v>
      </c>
      <c r="H3047" s="5" t="s">
        <v>20</v>
      </c>
      <c r="I3047" s="5" t="s">
        <v>7361</v>
      </c>
      <c r="J3047" s="12" t="str">
        <f>HYPERLINK("https://www.boe.es/gazeta/dias/1804/06/08/pdfs/GMD-1804-46.pdf#page=11","Abrir facsímil")</f>
        <v>Abrir facsímil</v>
      </c>
      <c r="K3047" s="15" t="s">
        <v>22</v>
      </c>
    </row>
    <row r="3048" spans="1:11" ht="42" customHeight="1">
      <c r="A3048" s="4" t="s">
        <v>7362</v>
      </c>
      <c r="B3048" s="5" t="s">
        <v>7362</v>
      </c>
      <c r="C3048" s="5" t="s">
        <v>27</v>
      </c>
      <c r="D3048" s="5" t="s">
        <v>28</v>
      </c>
      <c r="E3048" s="5" t="s">
        <v>453</v>
      </c>
      <c r="F3048" s="9">
        <v>33</v>
      </c>
      <c r="G3048" s="9">
        <v>367</v>
      </c>
      <c r="H3048" s="5" t="s">
        <v>20</v>
      </c>
      <c r="I3048" s="5" t="s">
        <v>7363</v>
      </c>
      <c r="J3048" s="12" t="str">
        <f>HYPERLINK("https://www.boe.es/gazeta/dias/1804/04/24/pdfs/GMD-1804-33.pdf#page=9","Abrir facsímil")</f>
        <v>Abrir facsímil</v>
      </c>
      <c r="K3048" s="15" t="s">
        <v>22</v>
      </c>
    </row>
    <row r="3049" spans="1:11" ht="42" customHeight="1">
      <c r="A3049" s="4" t="s">
        <v>7364</v>
      </c>
      <c r="B3049" s="5" t="s">
        <v>7364</v>
      </c>
      <c r="C3049" s="5" t="s">
        <v>27</v>
      </c>
      <c r="D3049" s="5" t="s">
        <v>28</v>
      </c>
      <c r="E3049" s="5" t="s">
        <v>378</v>
      </c>
      <c r="F3049" s="9">
        <v>65</v>
      </c>
      <c r="G3049" s="9">
        <v>732</v>
      </c>
      <c r="H3049" s="5" t="s">
        <v>20</v>
      </c>
      <c r="I3049" s="5" t="s">
        <v>7365</v>
      </c>
      <c r="J3049" s="12" t="str">
        <f>HYPERLINK("https://www.boe.es/gazeta/dias/1804/08/14/pdfs/GMD-1804-65.pdf#page=10","Abrir facsímil")</f>
        <v>Abrir facsímil</v>
      </c>
      <c r="K3049" s="15" t="s">
        <v>22</v>
      </c>
    </row>
    <row r="3050" spans="1:11" ht="42" customHeight="1">
      <c r="A3050" s="4" t="s">
        <v>7366</v>
      </c>
      <c r="B3050" s="5" t="s">
        <v>7366</v>
      </c>
      <c r="C3050" s="5" t="s">
        <v>27</v>
      </c>
      <c r="D3050" s="5" t="s">
        <v>28</v>
      </c>
      <c r="E3050" s="5" t="s">
        <v>1278</v>
      </c>
      <c r="F3050" s="9">
        <v>37</v>
      </c>
      <c r="G3050" s="9">
        <v>410</v>
      </c>
      <c r="H3050" s="5" t="s">
        <v>20</v>
      </c>
      <c r="I3050" s="5" t="s">
        <v>7367</v>
      </c>
      <c r="J3050" s="12" t="str">
        <f>HYPERLINK("https://www.boe.es/gazeta/dias/1804/05/08/pdfs/GMD-1804-37.pdf#page=8","Abrir facsímil")</f>
        <v>Abrir facsímil</v>
      </c>
      <c r="K3050" s="15" t="s">
        <v>22</v>
      </c>
    </row>
    <row r="3051" spans="1:11" ht="42" customHeight="1">
      <c r="A3051" s="4" t="s">
        <v>7368</v>
      </c>
      <c r="B3051" s="5" t="s">
        <v>7368</v>
      </c>
      <c r="C3051" s="5" t="s">
        <v>27</v>
      </c>
      <c r="D3051" s="5" t="s">
        <v>28</v>
      </c>
      <c r="E3051" s="5" t="s">
        <v>19</v>
      </c>
      <c r="F3051" s="9">
        <v>60</v>
      </c>
      <c r="G3051" s="9">
        <v>665</v>
      </c>
      <c r="H3051" s="5" t="s">
        <v>20</v>
      </c>
      <c r="I3051" s="5" t="s">
        <v>7369</v>
      </c>
      <c r="J3051" s="12" t="str">
        <f>HYPERLINK("https://www.boe.es/gazeta/dias/1804/07/27/pdfs/GMD-1804-60.pdf#page=7","Abrir facsímil")</f>
        <v>Abrir facsímil</v>
      </c>
      <c r="K3051" s="15" t="s">
        <v>22</v>
      </c>
    </row>
    <row r="3052" spans="1:11" ht="42" customHeight="1">
      <c r="A3052" s="4" t="s">
        <v>7370</v>
      </c>
      <c r="B3052" s="5" t="s">
        <v>7370</v>
      </c>
      <c r="C3052" s="5" t="s">
        <v>27</v>
      </c>
      <c r="D3052" s="5" t="s">
        <v>28</v>
      </c>
      <c r="E3052" s="5" t="s">
        <v>1020</v>
      </c>
      <c r="F3052" s="9">
        <v>103</v>
      </c>
      <c r="G3052" s="9">
        <v>1147</v>
      </c>
      <c r="H3052" s="5" t="s">
        <v>20</v>
      </c>
      <c r="I3052" s="5" t="s">
        <v>7371</v>
      </c>
      <c r="J3052" s="12" t="str">
        <f>HYPERLINK("https://www.boe.es/gazeta/dias/1804/12/25/pdfs/GMD-1804-103.pdf#page=7","Abrir facsímil")</f>
        <v>Abrir facsímil</v>
      </c>
      <c r="K3052" s="15" t="s">
        <v>22</v>
      </c>
    </row>
    <row r="3053" spans="1:11" ht="42" customHeight="1">
      <c r="A3053" s="4" t="s">
        <v>7372</v>
      </c>
      <c r="B3053" s="5" t="s">
        <v>7372</v>
      </c>
      <c r="C3053" s="5" t="s">
        <v>27</v>
      </c>
      <c r="D3053" s="5" t="s">
        <v>28</v>
      </c>
      <c r="E3053" s="5" t="s">
        <v>245</v>
      </c>
      <c r="F3053" s="9">
        <v>6</v>
      </c>
      <c r="G3053" s="9">
        <v>58</v>
      </c>
      <c r="H3053" s="5" t="s">
        <v>20</v>
      </c>
      <c r="I3053" s="5" t="s">
        <v>7373</v>
      </c>
      <c r="J3053" s="12" t="str">
        <f>HYPERLINK("https://www.boe.es/gazeta/dias/1804/01/20/pdfs/GMD-1804-6.pdf#page=10","Abrir facsímil")</f>
        <v>Abrir facsímil</v>
      </c>
      <c r="K3053" s="15" t="s">
        <v>22</v>
      </c>
    </row>
    <row r="3054" spans="1:11" ht="42" customHeight="1">
      <c r="A3054" s="4" t="s">
        <v>7374</v>
      </c>
      <c r="B3054" s="5" t="s">
        <v>7374</v>
      </c>
      <c r="C3054" s="5" t="s">
        <v>27</v>
      </c>
      <c r="D3054" s="5" t="s">
        <v>28</v>
      </c>
      <c r="E3054" s="5" t="s">
        <v>77</v>
      </c>
      <c r="F3054" s="9">
        <v>32</v>
      </c>
      <c r="G3054" s="9">
        <v>356</v>
      </c>
      <c r="H3054" s="5" t="s">
        <v>20</v>
      </c>
      <c r="I3054" s="5" t="s">
        <v>7375</v>
      </c>
      <c r="J3054" s="12" t="str">
        <f>HYPERLINK("https://www.boe.es/gazeta/dias/1804/04/20/pdfs/GMD-1804-32.pdf#page=10","Abrir facsímil")</f>
        <v>Abrir facsímil</v>
      </c>
      <c r="K3054" s="15" t="s">
        <v>22</v>
      </c>
    </row>
    <row r="3055" spans="1:11" ht="42" customHeight="1">
      <c r="A3055" s="4" t="s">
        <v>7376</v>
      </c>
      <c r="B3055" s="5" t="s">
        <v>7376</v>
      </c>
      <c r="C3055" s="5" t="s">
        <v>17</v>
      </c>
      <c r="D3055" s="5" t="s">
        <v>18</v>
      </c>
      <c r="E3055" s="5" t="s">
        <v>77</v>
      </c>
      <c r="F3055" s="9">
        <v>32</v>
      </c>
      <c r="G3055" s="9">
        <v>356</v>
      </c>
      <c r="H3055" s="5" t="s">
        <v>20</v>
      </c>
      <c r="I3055" s="5" t="s">
        <v>7377</v>
      </c>
      <c r="J3055" s="12" t="str">
        <f>HYPERLINK("https://www.boe.es/gazeta/dias/1804/04/20/pdfs/GMD-1804-32.pdf#page=10","Abrir facsímil")</f>
        <v>Abrir facsímil</v>
      </c>
      <c r="K3055" s="15" t="s">
        <v>22</v>
      </c>
    </row>
    <row r="3056" spans="1:11" ht="42" customHeight="1">
      <c r="A3056" s="4" t="s">
        <v>7378</v>
      </c>
      <c r="B3056" s="5" t="s">
        <v>7378</v>
      </c>
      <c r="C3056" s="5" t="s">
        <v>27</v>
      </c>
      <c r="D3056" s="5" t="s">
        <v>28</v>
      </c>
      <c r="E3056" s="5" t="s">
        <v>61</v>
      </c>
      <c r="F3056" s="9">
        <v>61</v>
      </c>
      <c r="G3056" s="9">
        <v>677</v>
      </c>
      <c r="H3056" s="5" t="s">
        <v>20</v>
      </c>
      <c r="I3056" s="5" t="s">
        <v>7379</v>
      </c>
      <c r="J3056" s="12" t="str">
        <f>HYPERLINK("https://www.boe.es/gazeta/dias/1804/07/31/pdfs/GMD-1804-61.pdf#page=7","Abrir facsímil")</f>
        <v>Abrir facsímil</v>
      </c>
      <c r="K3056" s="15" t="s">
        <v>22</v>
      </c>
    </row>
    <row r="3057" spans="1:11" ht="42" customHeight="1">
      <c r="A3057" s="4" t="s">
        <v>7380</v>
      </c>
      <c r="B3057" s="5" t="s">
        <v>7380</v>
      </c>
      <c r="C3057" s="5" t="s">
        <v>17</v>
      </c>
      <c r="D3057" s="5" t="s">
        <v>18</v>
      </c>
      <c r="E3057" s="5" t="s">
        <v>453</v>
      </c>
      <c r="F3057" s="9">
        <v>33</v>
      </c>
      <c r="G3057" s="9">
        <v>366</v>
      </c>
      <c r="H3057" s="5" t="s">
        <v>20</v>
      </c>
      <c r="I3057" s="5" t="s">
        <v>7381</v>
      </c>
      <c r="J3057" s="12" t="str">
        <f>HYPERLINK("https://www.boe.es/gazeta/dias/1804/04/24/pdfs/GMD-1804-33.pdf#page=8","Abrir facsímil")</f>
        <v>Abrir facsímil</v>
      </c>
      <c r="K3057" s="15" t="s">
        <v>22</v>
      </c>
    </row>
    <row r="3058" spans="1:11" ht="42" customHeight="1">
      <c r="A3058" s="4" t="s">
        <v>7382</v>
      </c>
      <c r="B3058" s="5" t="s">
        <v>7382</v>
      </c>
      <c r="C3058" s="5" t="s">
        <v>27</v>
      </c>
      <c r="D3058" s="5" t="s">
        <v>28</v>
      </c>
      <c r="E3058" s="5" t="s">
        <v>67</v>
      </c>
      <c r="F3058" s="9">
        <v>59</v>
      </c>
      <c r="G3058" s="9">
        <v>656</v>
      </c>
      <c r="H3058" s="5" t="s">
        <v>20</v>
      </c>
      <c r="I3058" s="5" t="s">
        <v>7383</v>
      </c>
      <c r="J3058" s="12" t="str">
        <f>HYPERLINK("https://www.boe.es/gazeta/dias/1804/07/24/pdfs/GMD-1804-59.pdf#page=10","Abrir facsímil")</f>
        <v>Abrir facsímil</v>
      </c>
      <c r="K3058" s="15" t="s">
        <v>22</v>
      </c>
    </row>
    <row r="3059" spans="1:11" ht="42" customHeight="1">
      <c r="A3059" s="4" t="s">
        <v>7384</v>
      </c>
      <c r="B3059" s="5" t="s">
        <v>7384</v>
      </c>
      <c r="C3059" s="5" t="s">
        <v>27</v>
      </c>
      <c r="D3059" s="5" t="s">
        <v>28</v>
      </c>
      <c r="E3059" s="5" t="s">
        <v>709</v>
      </c>
      <c r="F3059" s="9">
        <v>82</v>
      </c>
      <c r="G3059" s="9">
        <v>907</v>
      </c>
      <c r="H3059" s="5" t="s">
        <v>20</v>
      </c>
      <c r="I3059" s="5" t="s">
        <v>7385</v>
      </c>
      <c r="J3059" s="12" t="str">
        <f>HYPERLINK("https://www.boe.es/gazeta/dias/1804/10/12/pdfs/GMD-1804-82.pdf#page=9","Abrir facsímil")</f>
        <v>Abrir facsímil</v>
      </c>
      <c r="K3059" s="15" t="s">
        <v>22</v>
      </c>
    </row>
    <row r="3060" spans="1:11" ht="42" customHeight="1">
      <c r="A3060" s="4" t="s">
        <v>7386</v>
      </c>
      <c r="B3060" s="5" t="s">
        <v>7386</v>
      </c>
      <c r="C3060" s="5" t="s">
        <v>65</v>
      </c>
      <c r="D3060" s="5" t="s">
        <v>66</v>
      </c>
      <c r="E3060" s="5" t="s">
        <v>23</v>
      </c>
      <c r="F3060" s="9">
        <v>91</v>
      </c>
      <c r="G3060" s="9">
        <v>1009</v>
      </c>
      <c r="H3060" s="5" t="s">
        <v>20</v>
      </c>
      <c r="I3060" s="5" t="s">
        <v>7387</v>
      </c>
      <c r="J3060" s="12" t="str">
        <f>HYPERLINK("https://www.boe.es/gazeta/dias/1804/11/13/pdfs/GMD-1804-91.pdf#page=9","Abrir facsímil")</f>
        <v>Abrir facsímil</v>
      </c>
      <c r="K3060" s="15" t="s">
        <v>22</v>
      </c>
    </row>
    <row r="3061" spans="1:11" ht="42" customHeight="1">
      <c r="A3061" s="4" t="s">
        <v>7388</v>
      </c>
      <c r="B3061" s="5" t="s">
        <v>7388</v>
      </c>
      <c r="C3061" s="5" t="s">
        <v>27</v>
      </c>
      <c r="D3061" s="5" t="s">
        <v>28</v>
      </c>
      <c r="E3061" s="5" t="s">
        <v>67</v>
      </c>
      <c r="F3061" s="9">
        <v>59</v>
      </c>
      <c r="G3061" s="9">
        <v>653</v>
      </c>
      <c r="H3061" s="5" t="s">
        <v>20</v>
      </c>
      <c r="I3061" s="5" t="s">
        <v>7389</v>
      </c>
      <c r="J3061" s="12" t="str">
        <f>HYPERLINK("https://www.boe.es/gazeta/dias/1804/07/24/pdfs/GMD-1804-59.pdf#page=7","Abrir facsímil")</f>
        <v>Abrir facsímil</v>
      </c>
      <c r="K3061" s="15" t="s">
        <v>22</v>
      </c>
    </row>
    <row r="3062" spans="1:11" ht="42" customHeight="1">
      <c r="A3062" s="4" t="s">
        <v>7390</v>
      </c>
      <c r="B3062" s="5" t="s">
        <v>7390</v>
      </c>
      <c r="C3062" s="5" t="s">
        <v>27</v>
      </c>
      <c r="D3062" s="5" t="s">
        <v>28</v>
      </c>
      <c r="E3062" s="5" t="s">
        <v>704</v>
      </c>
      <c r="F3062" s="9">
        <v>36</v>
      </c>
      <c r="G3062" s="9">
        <v>400</v>
      </c>
      <c r="H3062" s="5" t="s">
        <v>20</v>
      </c>
      <c r="I3062" s="5" t="s">
        <v>7391</v>
      </c>
      <c r="J3062" s="12" t="str">
        <f>HYPERLINK("https://www.boe.es/gazeta/dias/1804/05/04/pdfs/GMD-1804-36.pdf#page=10","Abrir facsímil")</f>
        <v>Abrir facsímil</v>
      </c>
      <c r="K3062" s="15" t="s">
        <v>22</v>
      </c>
    </row>
    <row r="3063" spans="1:11" ht="42" customHeight="1">
      <c r="A3063" s="4" t="s">
        <v>7392</v>
      </c>
      <c r="B3063" s="5" t="s">
        <v>7392</v>
      </c>
      <c r="C3063" s="5" t="s">
        <v>27</v>
      </c>
      <c r="D3063" s="5" t="s">
        <v>28</v>
      </c>
      <c r="E3063" s="5" t="s">
        <v>350</v>
      </c>
      <c r="F3063" s="9">
        <v>19</v>
      </c>
      <c r="G3063" s="9">
        <v>209</v>
      </c>
      <c r="H3063" s="5" t="s">
        <v>20</v>
      </c>
      <c r="I3063" s="5" t="s">
        <v>7393</v>
      </c>
      <c r="J3063" s="12" t="str">
        <f>HYPERLINK("https://www.boe.es/gazeta/dias/1804/03/06/pdfs/GMD-1804-19.pdf#page=9","Abrir facsímil")</f>
        <v>Abrir facsímil</v>
      </c>
      <c r="K3063" s="15" t="s">
        <v>22</v>
      </c>
    </row>
    <row r="3064" spans="1:11" ht="42" customHeight="1">
      <c r="A3064" s="4" t="s">
        <v>7394</v>
      </c>
      <c r="B3064" s="5" t="s">
        <v>7394</v>
      </c>
      <c r="C3064" s="5" t="s">
        <v>27</v>
      </c>
      <c r="D3064" s="5" t="s">
        <v>28</v>
      </c>
      <c r="E3064" s="5" t="s">
        <v>19</v>
      </c>
      <c r="F3064" s="9">
        <v>60</v>
      </c>
      <c r="G3064" s="9">
        <v>665</v>
      </c>
      <c r="H3064" s="5" t="s">
        <v>20</v>
      </c>
      <c r="I3064" s="5" t="s">
        <v>7395</v>
      </c>
      <c r="J3064" s="12" t="str">
        <f>HYPERLINK("https://www.boe.es/gazeta/dias/1804/07/27/pdfs/GMD-1804-60.pdf#page=7","Abrir facsímil")</f>
        <v>Abrir facsímil</v>
      </c>
      <c r="K3064" s="15" t="s">
        <v>22</v>
      </c>
    </row>
    <row r="3065" spans="1:11" ht="42" customHeight="1">
      <c r="A3065" s="4" t="s">
        <v>7396</v>
      </c>
      <c r="B3065" s="5" t="s">
        <v>7396</v>
      </c>
      <c r="C3065" s="5" t="s">
        <v>65</v>
      </c>
      <c r="D3065" s="5" t="s">
        <v>66</v>
      </c>
      <c r="E3065" s="5" t="s">
        <v>427</v>
      </c>
      <c r="F3065" s="9">
        <v>80</v>
      </c>
      <c r="G3065" s="9">
        <v>889</v>
      </c>
      <c r="H3065" s="5" t="s">
        <v>20</v>
      </c>
      <c r="I3065" s="5" t="s">
        <v>7397</v>
      </c>
      <c r="J3065" s="12" t="str">
        <f>HYPERLINK("https://www.boe.es/gazeta/dias/1804/10/05/pdfs/GMD-1804-80.pdf#page=7","Abrir facsímil")</f>
        <v>Abrir facsímil</v>
      </c>
      <c r="K3065" s="15" t="s">
        <v>22</v>
      </c>
    </row>
    <row r="3066" spans="1:11" ht="42" customHeight="1">
      <c r="A3066" s="4" t="s">
        <v>7398</v>
      </c>
      <c r="B3066" s="5" t="s">
        <v>7398</v>
      </c>
      <c r="C3066" s="5" t="s">
        <v>27</v>
      </c>
      <c r="D3066" s="5" t="s">
        <v>28</v>
      </c>
      <c r="E3066" s="5" t="s">
        <v>264</v>
      </c>
      <c r="F3066" s="9">
        <v>49</v>
      </c>
      <c r="G3066" s="9">
        <v>544</v>
      </c>
      <c r="H3066" s="5" t="s">
        <v>20</v>
      </c>
      <c r="I3066" s="5" t="s">
        <v>7399</v>
      </c>
      <c r="J3066" s="12" t="str">
        <f>HYPERLINK("https://www.boe.es/gazeta/dias/1804/06/19/pdfs/GMD-1804-49.pdf#page=6","Abrir facsímil")</f>
        <v>Abrir facsímil</v>
      </c>
      <c r="K3066" s="15" t="s">
        <v>22</v>
      </c>
    </row>
    <row r="3067" spans="1:11" ht="42" customHeight="1">
      <c r="A3067" s="4" t="s">
        <v>7400</v>
      </c>
      <c r="B3067" s="5" t="s">
        <v>7400</v>
      </c>
      <c r="C3067" s="5" t="s">
        <v>27</v>
      </c>
      <c r="D3067" s="5" t="s">
        <v>28</v>
      </c>
      <c r="E3067" s="5" t="s">
        <v>1095</v>
      </c>
      <c r="F3067" s="9">
        <v>73</v>
      </c>
      <c r="G3067" s="9">
        <v>818</v>
      </c>
      <c r="H3067" s="5" t="s">
        <v>20</v>
      </c>
      <c r="I3067" s="5" t="s">
        <v>7401</v>
      </c>
      <c r="J3067" s="12" t="str">
        <f>HYPERLINK("https://www.boe.es/gazeta/dias/1804/09/11/pdfs/GMD-1804-73.pdf#page=8","Abrir facsímil")</f>
        <v>Abrir facsímil</v>
      </c>
      <c r="K3067" s="15" t="s">
        <v>22</v>
      </c>
    </row>
    <row r="3068" spans="1:11" ht="42" customHeight="1">
      <c r="A3068" s="4" t="s">
        <v>7400</v>
      </c>
      <c r="B3068" s="5" t="s">
        <v>7400</v>
      </c>
      <c r="C3068" s="5" t="s">
        <v>17</v>
      </c>
      <c r="D3068" s="5" t="s">
        <v>18</v>
      </c>
      <c r="E3068" s="5" t="s">
        <v>47</v>
      </c>
      <c r="F3068" s="9">
        <v>78</v>
      </c>
      <c r="G3068" s="9">
        <v>867</v>
      </c>
      <c r="H3068" s="5" t="s">
        <v>20</v>
      </c>
      <c r="I3068" s="5" t="s">
        <v>7402</v>
      </c>
      <c r="J3068" s="12" t="str">
        <f>HYPERLINK("https://www.boe.es/gazeta/dias/1804/09/28/pdfs/GMD-1804-78.pdf#page=5","Abrir facsímil")</f>
        <v>Abrir facsímil</v>
      </c>
      <c r="K3068" s="15" t="s">
        <v>22</v>
      </c>
    </row>
    <row r="3069" spans="1:11" ht="42" customHeight="1">
      <c r="A3069" s="4" t="s">
        <v>7403</v>
      </c>
      <c r="B3069" s="5" t="s">
        <v>7403</v>
      </c>
      <c r="C3069" s="5" t="s">
        <v>65</v>
      </c>
      <c r="D3069" s="5" t="s">
        <v>66</v>
      </c>
      <c r="E3069" s="5" t="s">
        <v>388</v>
      </c>
      <c r="F3069" s="9">
        <v>18</v>
      </c>
      <c r="G3069" s="9">
        <v>199</v>
      </c>
      <c r="H3069" s="5" t="s">
        <v>20</v>
      </c>
      <c r="I3069" s="5" t="s">
        <v>7404</v>
      </c>
      <c r="J3069" s="12" t="str">
        <f>HYPERLINK("https://www.boe.es/gazeta/dias/1804/03/02/pdfs/GMD-1804-18.pdf#page=11","Abrir facsímil")</f>
        <v>Abrir facsímil</v>
      </c>
      <c r="K3069" s="15" t="s">
        <v>22</v>
      </c>
    </row>
    <row r="3070" spans="1:11" ht="42" customHeight="1">
      <c r="A3070" s="4" t="s">
        <v>7405</v>
      </c>
      <c r="B3070" s="5" t="s">
        <v>7405</v>
      </c>
      <c r="C3070" s="5" t="s">
        <v>198</v>
      </c>
      <c r="D3070" s="5" t="s">
        <v>66</v>
      </c>
      <c r="E3070" s="5" t="s">
        <v>222</v>
      </c>
      <c r="F3070" s="9">
        <v>4</v>
      </c>
      <c r="G3070" s="9">
        <v>40</v>
      </c>
      <c r="H3070" s="5" t="s">
        <v>20</v>
      </c>
      <c r="I3070" s="5" t="s">
        <v>7406</v>
      </c>
      <c r="J3070" s="12" t="str">
        <f>HYPERLINK("https://www.boe.es/gazeta/dias/1804/01/13/pdfs/GMD-1804-4.pdf#page=12","Abrir facsímil")</f>
        <v>Abrir facsímil</v>
      </c>
      <c r="K3070" s="15" t="s">
        <v>22</v>
      </c>
    </row>
    <row r="3071" spans="1:11" ht="42" customHeight="1">
      <c r="A3071" s="4" t="s">
        <v>7405</v>
      </c>
      <c r="B3071" s="5" t="s">
        <v>7405</v>
      </c>
      <c r="C3071" s="5" t="s">
        <v>65</v>
      </c>
      <c r="D3071" s="5" t="s">
        <v>66</v>
      </c>
      <c r="E3071" s="5" t="s">
        <v>1337</v>
      </c>
      <c r="F3071" s="9">
        <v>7</v>
      </c>
      <c r="G3071" s="9">
        <v>70</v>
      </c>
      <c r="H3071" s="5" t="s">
        <v>20</v>
      </c>
      <c r="I3071" s="5" t="s">
        <v>7407</v>
      </c>
      <c r="J3071" s="12" t="str">
        <f>HYPERLINK("https://www.boe.es/gazeta/dias/1804/01/24/pdfs/GMD-1804-7.pdf#page=10","Abrir facsímil")</f>
        <v>Abrir facsímil</v>
      </c>
      <c r="K3071" s="15" t="s">
        <v>22</v>
      </c>
    </row>
    <row r="3072" spans="1:11" ht="42" customHeight="1">
      <c r="A3072" s="4" t="s">
        <v>7408</v>
      </c>
      <c r="B3072" s="5" t="s">
        <v>7408</v>
      </c>
      <c r="C3072" s="5" t="s">
        <v>198</v>
      </c>
      <c r="D3072" s="5" t="s">
        <v>66</v>
      </c>
      <c r="E3072" s="5" t="s">
        <v>453</v>
      </c>
      <c r="F3072" s="9">
        <v>33</v>
      </c>
      <c r="G3072" s="9">
        <v>368</v>
      </c>
      <c r="H3072" s="5" t="s">
        <v>20</v>
      </c>
      <c r="I3072" s="5" t="s">
        <v>7409</v>
      </c>
      <c r="J3072" s="12" t="str">
        <f>HYPERLINK("https://www.boe.es/gazeta/dias/1804/04/24/pdfs/GMD-1804-33.pdf#page=10","Abrir facsímil")</f>
        <v>Abrir facsímil</v>
      </c>
      <c r="K3072" s="15" t="s">
        <v>22</v>
      </c>
    </row>
    <row r="3073" spans="1:11" ht="42" customHeight="1">
      <c r="A3073" s="4" t="s">
        <v>7405</v>
      </c>
      <c r="B3073" s="5" t="s">
        <v>7405</v>
      </c>
      <c r="C3073" s="5" t="s">
        <v>27</v>
      </c>
      <c r="D3073" s="5" t="s">
        <v>28</v>
      </c>
      <c r="E3073" s="5" t="s">
        <v>576</v>
      </c>
      <c r="F3073" s="9">
        <v>85</v>
      </c>
      <c r="G3073" s="9">
        <v>939</v>
      </c>
      <c r="H3073" s="5" t="s">
        <v>20</v>
      </c>
      <c r="I3073" s="5" t="s">
        <v>7410</v>
      </c>
      <c r="J3073" s="12" t="str">
        <f>HYPERLINK("https://www.boe.es/gazeta/dias/1804/10/23/pdfs/GMD-1804-85.pdf#page=9","Abrir facsímil")</f>
        <v>Abrir facsímil</v>
      </c>
      <c r="K3073" s="15" t="s">
        <v>22</v>
      </c>
    </row>
    <row r="3074" spans="1:11" ht="42" customHeight="1">
      <c r="A3074" s="4" t="s">
        <v>7411</v>
      </c>
      <c r="B3074" s="5" t="s">
        <v>7411</v>
      </c>
      <c r="C3074" s="5" t="s">
        <v>17</v>
      </c>
      <c r="D3074" s="5" t="s">
        <v>18</v>
      </c>
      <c r="E3074" s="5" t="s">
        <v>222</v>
      </c>
      <c r="F3074" s="9">
        <v>4</v>
      </c>
      <c r="G3074" s="9">
        <v>39</v>
      </c>
      <c r="H3074" s="5" t="s">
        <v>20</v>
      </c>
      <c r="I3074" s="5" t="s">
        <v>7412</v>
      </c>
      <c r="J3074" s="12" t="str">
        <f>HYPERLINK("https://www.boe.es/gazeta/dias/1804/01/13/pdfs/GMD-1804-4.pdf#page=11","Abrir facsímil")</f>
        <v>Abrir facsímil</v>
      </c>
      <c r="K3074" s="15" t="s">
        <v>22</v>
      </c>
    </row>
    <row r="3075" spans="1:11" ht="42" customHeight="1">
      <c r="A3075" s="4" t="s">
        <v>7413</v>
      </c>
      <c r="B3075" s="5" t="s">
        <v>7413</v>
      </c>
      <c r="C3075" s="5" t="s">
        <v>27</v>
      </c>
      <c r="D3075" s="5" t="s">
        <v>28</v>
      </c>
      <c r="E3075" s="5" t="s">
        <v>350</v>
      </c>
      <c r="F3075" s="9">
        <v>19</v>
      </c>
      <c r="G3075" s="9">
        <v>209</v>
      </c>
      <c r="H3075" s="5" t="s">
        <v>20</v>
      </c>
      <c r="I3075" s="5" t="s">
        <v>7414</v>
      </c>
      <c r="J3075" s="12" t="str">
        <f>HYPERLINK("https://www.boe.es/gazeta/dias/1804/03/06/pdfs/GMD-1804-19.pdf#page=9","Abrir facsímil")</f>
        <v>Abrir facsímil</v>
      </c>
      <c r="K3075" s="15" t="s">
        <v>22</v>
      </c>
    </row>
    <row r="3076" spans="1:11" ht="42" customHeight="1">
      <c r="A3076" s="4" t="s">
        <v>7415</v>
      </c>
      <c r="B3076" s="5" t="s">
        <v>7415</v>
      </c>
      <c r="C3076" s="5" t="s">
        <v>17</v>
      </c>
      <c r="D3076" s="5" t="s">
        <v>18</v>
      </c>
      <c r="E3076" s="5" t="s">
        <v>623</v>
      </c>
      <c r="F3076" s="9">
        <v>51</v>
      </c>
      <c r="G3076" s="9">
        <v>561</v>
      </c>
      <c r="H3076" s="5" t="s">
        <v>20</v>
      </c>
      <c r="I3076" s="5" t="s">
        <v>7416</v>
      </c>
      <c r="J3076" s="12" t="str">
        <f>HYPERLINK("https://www.boe.es/gazeta/dias/1804/06/26/pdfs/GMD-1804-51.pdf#page=7","Abrir facsímil")</f>
        <v>Abrir facsímil</v>
      </c>
      <c r="K3076" s="15" t="s">
        <v>22</v>
      </c>
    </row>
    <row r="3077" spans="1:11" ht="42" customHeight="1">
      <c r="A3077" s="4" t="s">
        <v>7417</v>
      </c>
      <c r="B3077" s="5" t="s">
        <v>7417</v>
      </c>
      <c r="C3077" s="5" t="s">
        <v>17</v>
      </c>
      <c r="D3077" s="5" t="s">
        <v>18</v>
      </c>
      <c r="E3077" s="5" t="s">
        <v>41</v>
      </c>
      <c r="F3077" s="9">
        <v>24</v>
      </c>
      <c r="G3077" s="9">
        <v>277</v>
      </c>
      <c r="H3077" s="5" t="s">
        <v>20</v>
      </c>
      <c r="I3077" s="5" t="s">
        <v>7418</v>
      </c>
      <c r="J3077" s="12" t="str">
        <f>HYPERLINK("https://www.boe.es/gazeta/dias/1804/03/23/pdfs/GMD-1804-24.pdf#page=11","Abrir facsímil")</f>
        <v>Abrir facsímil</v>
      </c>
      <c r="K3077" s="15" t="s">
        <v>22</v>
      </c>
    </row>
    <row r="3078" spans="1:11" ht="42" customHeight="1">
      <c r="A3078" s="4" t="s">
        <v>7417</v>
      </c>
      <c r="B3078" s="5" t="s">
        <v>7417</v>
      </c>
      <c r="C3078" s="5" t="s">
        <v>17</v>
      </c>
      <c r="D3078" s="5" t="s">
        <v>18</v>
      </c>
      <c r="E3078" s="5" t="s">
        <v>54</v>
      </c>
      <c r="F3078" s="9">
        <v>63</v>
      </c>
      <c r="G3078" s="9">
        <v>700</v>
      </c>
      <c r="H3078" s="5" t="s">
        <v>20</v>
      </c>
      <c r="I3078" s="5" t="s">
        <v>7419</v>
      </c>
      <c r="J3078" s="12" t="str">
        <f>HYPERLINK("https://www.boe.es/gazeta/dias/1804/08/07/pdfs/GMD-1804-63.pdf#page=10","Abrir facsímil")</f>
        <v>Abrir facsímil</v>
      </c>
      <c r="K3078" s="15" t="s">
        <v>22</v>
      </c>
    </row>
    <row r="3079" spans="1:11" ht="42" customHeight="1">
      <c r="A3079" s="4" t="s">
        <v>7420</v>
      </c>
      <c r="B3079" s="5" t="s">
        <v>7420</v>
      </c>
      <c r="C3079" s="5" t="s">
        <v>198</v>
      </c>
      <c r="D3079" s="5" t="s">
        <v>66</v>
      </c>
      <c r="E3079" s="5" t="s">
        <v>339</v>
      </c>
      <c r="F3079" s="9">
        <v>94</v>
      </c>
      <c r="G3079" s="9">
        <v>1038</v>
      </c>
      <c r="H3079" s="5" t="s">
        <v>20</v>
      </c>
      <c r="I3079" s="5" t="s">
        <v>7421</v>
      </c>
      <c r="J3079" s="12" t="str">
        <f>HYPERLINK("https://www.boe.es/gazeta/dias/1804/11/23/pdfs/GMD-1804-94.pdf#page=6","Abrir facsímil")</f>
        <v>Abrir facsímil</v>
      </c>
      <c r="K3079" s="15" t="s">
        <v>22</v>
      </c>
    </row>
    <row r="3080" spans="1:11" ht="42" customHeight="1">
      <c r="A3080" s="4" t="s">
        <v>7422</v>
      </c>
      <c r="B3080" s="5" t="s">
        <v>7422</v>
      </c>
      <c r="C3080" s="5" t="s">
        <v>17</v>
      </c>
      <c r="D3080" s="5" t="s">
        <v>18</v>
      </c>
      <c r="E3080" s="5" t="s">
        <v>33</v>
      </c>
      <c r="F3080" s="9">
        <v>48</v>
      </c>
      <c r="G3080" s="9">
        <v>537</v>
      </c>
      <c r="H3080" s="5" t="s">
        <v>20</v>
      </c>
      <c r="I3080" s="5" t="s">
        <v>7423</v>
      </c>
      <c r="J3080" s="12" t="str">
        <f>HYPERLINK("https://www.boe.es/gazeta/dias/1804/06/15/pdfs/GMD-1804-48.pdf#page=7","Abrir facsímil")</f>
        <v>Abrir facsímil</v>
      </c>
      <c r="K3080" s="15" t="s">
        <v>22</v>
      </c>
    </row>
    <row r="3081" spans="1:11" ht="42" customHeight="1">
      <c r="A3081" s="4" t="s">
        <v>7424</v>
      </c>
      <c r="B3081" s="5" t="s">
        <v>7425</v>
      </c>
      <c r="C3081" s="5" t="s">
        <v>17</v>
      </c>
      <c r="D3081" s="5" t="s">
        <v>18</v>
      </c>
      <c r="E3081" s="5" t="s">
        <v>484</v>
      </c>
      <c r="F3081" s="9">
        <v>53</v>
      </c>
      <c r="G3081" s="9">
        <v>590</v>
      </c>
      <c r="H3081" s="5" t="s">
        <v>20</v>
      </c>
      <c r="I3081" s="5" t="s">
        <v>7426</v>
      </c>
      <c r="J3081" s="12" t="str">
        <f>HYPERLINK("https://www.boe.es/gazeta/dias/1804/07/03/pdfs/GMD-1804-53.pdf#page=8","Abrir facsímil")</f>
        <v>Abrir facsímil</v>
      </c>
      <c r="K3081" s="15" t="s">
        <v>22</v>
      </c>
    </row>
    <row r="3082" spans="1:11" ht="42" customHeight="1">
      <c r="A3082" s="4" t="s">
        <v>7427</v>
      </c>
      <c r="B3082" s="5" t="s">
        <v>7427</v>
      </c>
      <c r="C3082" s="5" t="s">
        <v>65</v>
      </c>
      <c r="D3082" s="5" t="s">
        <v>66</v>
      </c>
      <c r="E3082" s="5" t="s">
        <v>302</v>
      </c>
      <c r="F3082" s="9">
        <v>3</v>
      </c>
      <c r="G3082" s="9">
        <v>27</v>
      </c>
      <c r="H3082" s="5" t="s">
        <v>20</v>
      </c>
      <c r="I3082" s="5" t="s">
        <v>7428</v>
      </c>
      <c r="J3082" s="12" t="str">
        <f>HYPERLINK("https://www.boe.es/gazeta/dias/1804/01/10/pdfs/GMD-1804-3.pdf#page=7","Abrir facsímil")</f>
        <v>Abrir facsímil</v>
      </c>
      <c r="K3082" s="15" t="s">
        <v>22</v>
      </c>
    </row>
    <row r="3083" spans="1:11" ht="42" customHeight="1">
      <c r="A3083" s="4" t="s">
        <v>7429</v>
      </c>
      <c r="B3083" s="5" t="s">
        <v>7429</v>
      </c>
      <c r="C3083" s="5" t="s">
        <v>27</v>
      </c>
      <c r="D3083" s="5" t="s">
        <v>28</v>
      </c>
      <c r="E3083" s="5" t="s">
        <v>37</v>
      </c>
      <c r="F3083" s="9">
        <v>29</v>
      </c>
      <c r="G3083" s="9">
        <v>320</v>
      </c>
      <c r="H3083" s="5" t="s">
        <v>20</v>
      </c>
      <c r="I3083" s="5" t="s">
        <v>7430</v>
      </c>
      <c r="J3083" s="12" t="str">
        <f>HYPERLINK("https://www.boe.es/gazeta/dias/1804/04/10/pdfs/GMD-1804-29.pdf#page=10","Abrir facsímil")</f>
        <v>Abrir facsímil</v>
      </c>
      <c r="K3083" s="15" t="s">
        <v>22</v>
      </c>
    </row>
    <row r="3084" spans="1:11" ht="42" customHeight="1">
      <c r="A3084" s="4" t="s">
        <v>7431</v>
      </c>
      <c r="B3084" s="5" t="s">
        <v>7431</v>
      </c>
      <c r="C3084" s="5" t="s">
        <v>65</v>
      </c>
      <c r="D3084" s="5" t="s">
        <v>66</v>
      </c>
      <c r="E3084" s="5" t="s">
        <v>800</v>
      </c>
      <c r="F3084" s="9">
        <v>45</v>
      </c>
      <c r="G3084" s="9">
        <v>501</v>
      </c>
      <c r="H3084" s="5" t="s">
        <v>20</v>
      </c>
      <c r="I3084" s="5" t="s">
        <v>7432</v>
      </c>
      <c r="J3084" s="12" t="str">
        <f>HYPERLINK("https://www.boe.es/gazeta/dias/1804/06/05/pdfs/GMD-1804-45.pdf#page=11","Abrir facsímil")</f>
        <v>Abrir facsímil</v>
      </c>
      <c r="K3084" s="15" t="s">
        <v>22</v>
      </c>
    </row>
    <row r="3085" spans="1:11" ht="42" customHeight="1">
      <c r="A3085" s="4" t="s">
        <v>7433</v>
      </c>
      <c r="B3085" s="5" t="s">
        <v>7433</v>
      </c>
      <c r="C3085" s="5" t="s">
        <v>120</v>
      </c>
      <c r="D3085" s="5" t="s">
        <v>121</v>
      </c>
      <c r="E3085" s="5" t="s">
        <v>33</v>
      </c>
      <c r="F3085" s="9">
        <v>48</v>
      </c>
      <c r="G3085" s="9" t="s">
        <v>819</v>
      </c>
      <c r="H3085" s="5" t="s">
        <v>20</v>
      </c>
      <c r="I3085" s="5" t="s">
        <v>7434</v>
      </c>
      <c r="J3085" s="12" t="str">
        <f>HYPERLINK("https://www.boe.es/gazeta/dias/1804/06/15/pdfs/GMD-C-1804-48.pdf#page=4","Abrir facsímil")</f>
        <v>Abrir facsímil</v>
      </c>
      <c r="K3085" s="15" t="s">
        <v>22</v>
      </c>
    </row>
    <row r="3086" spans="1:11" ht="42" customHeight="1">
      <c r="A3086" s="4" t="s">
        <v>7435</v>
      </c>
      <c r="B3086" s="5" t="s">
        <v>7435</v>
      </c>
      <c r="C3086" s="5" t="s">
        <v>17</v>
      </c>
      <c r="D3086" s="5" t="s">
        <v>18</v>
      </c>
      <c r="E3086" s="5" t="s">
        <v>71</v>
      </c>
      <c r="F3086" s="9">
        <v>99</v>
      </c>
      <c r="G3086" s="9">
        <v>1107</v>
      </c>
      <c r="H3086" s="5" t="s">
        <v>20</v>
      </c>
      <c r="I3086" s="5" t="s">
        <v>7436</v>
      </c>
      <c r="J3086" s="12" t="str">
        <f>HYPERLINK("https://www.boe.es/gazeta/dias/1804/12/11/pdfs/GMD-1804-99.pdf#page=7","Abrir facsímil")</f>
        <v>Abrir facsímil</v>
      </c>
      <c r="K3086" s="15" t="s">
        <v>22</v>
      </c>
    </row>
    <row r="3087" spans="1:11" ht="42" customHeight="1">
      <c r="A3087" s="4" t="s">
        <v>7437</v>
      </c>
      <c r="B3087" s="5" t="s">
        <v>7437</v>
      </c>
      <c r="C3087" s="5" t="s">
        <v>17</v>
      </c>
      <c r="D3087" s="5" t="s">
        <v>18</v>
      </c>
      <c r="E3087" s="5" t="s">
        <v>159</v>
      </c>
      <c r="F3087" s="9">
        <v>15</v>
      </c>
      <c r="G3087" s="9">
        <v>163</v>
      </c>
      <c r="H3087" s="5" t="s">
        <v>20</v>
      </c>
      <c r="I3087" s="5" t="s">
        <v>7438</v>
      </c>
      <c r="J3087" s="12" t="str">
        <f>HYPERLINK("https://www.boe.es/gazeta/dias/1804/02/21/pdfs/GMD-1804-15.pdf#page=7","Abrir facsímil")</f>
        <v>Abrir facsímil</v>
      </c>
      <c r="K3087" s="15" t="s">
        <v>22</v>
      </c>
    </row>
    <row r="3088" spans="1:11" ht="42" customHeight="1">
      <c r="A3088" s="4" t="s">
        <v>7439</v>
      </c>
      <c r="B3088" s="5" t="s">
        <v>7439</v>
      </c>
      <c r="C3088" s="5" t="s">
        <v>17</v>
      </c>
      <c r="D3088" s="5" t="s">
        <v>18</v>
      </c>
      <c r="E3088" s="5" t="s">
        <v>71</v>
      </c>
      <c r="F3088" s="9">
        <v>99</v>
      </c>
      <c r="G3088" s="9">
        <v>1107</v>
      </c>
      <c r="H3088" s="5" t="s">
        <v>20</v>
      </c>
      <c r="I3088" s="5" t="s">
        <v>7440</v>
      </c>
      <c r="J3088" s="12" t="str">
        <f>HYPERLINK("https://www.boe.es/gazeta/dias/1804/12/11/pdfs/GMD-1804-99.pdf#page=7","Abrir facsímil")</f>
        <v>Abrir facsímil</v>
      </c>
      <c r="K3088" s="15" t="s">
        <v>22</v>
      </c>
    </row>
    <row r="3089" spans="1:11" ht="42" customHeight="1">
      <c r="A3089" s="4" t="s">
        <v>7441</v>
      </c>
      <c r="B3089" s="5" t="s">
        <v>7441</v>
      </c>
      <c r="C3089" s="5" t="s">
        <v>17</v>
      </c>
      <c r="D3089" s="5" t="s">
        <v>18</v>
      </c>
      <c r="E3089" s="5" t="s">
        <v>71</v>
      </c>
      <c r="F3089" s="9">
        <v>99</v>
      </c>
      <c r="G3089" s="9">
        <v>1106</v>
      </c>
      <c r="H3089" s="5" t="s">
        <v>20</v>
      </c>
      <c r="I3089" s="5" t="s">
        <v>7442</v>
      </c>
      <c r="J3089" s="12" t="str">
        <f>HYPERLINK("https://www.boe.es/gazeta/dias/1804/12/11/pdfs/GMD-1804-99.pdf#page=6","Abrir facsímil")</f>
        <v>Abrir facsímil</v>
      </c>
      <c r="K3089" s="15" t="s">
        <v>22</v>
      </c>
    </row>
    <row r="3090" spans="1:11" ht="42" customHeight="1">
      <c r="A3090" s="4" t="s">
        <v>7443</v>
      </c>
      <c r="B3090" s="5" t="s">
        <v>7444</v>
      </c>
      <c r="C3090" s="5" t="s">
        <v>17</v>
      </c>
      <c r="D3090" s="5" t="s">
        <v>18</v>
      </c>
      <c r="E3090" s="5" t="s">
        <v>484</v>
      </c>
      <c r="F3090" s="9">
        <v>53</v>
      </c>
      <c r="G3090" s="9">
        <v>593</v>
      </c>
      <c r="H3090" s="5" t="s">
        <v>20</v>
      </c>
      <c r="I3090" s="5" t="s">
        <v>7445</v>
      </c>
      <c r="J3090" s="12" t="str">
        <f>HYPERLINK("https://www.boe.es/gazeta/dias/1804/07/03/pdfs/GMD-1804-53.pdf#page=11","Abrir facsímil")</f>
        <v>Abrir facsímil</v>
      </c>
      <c r="K3090" s="15" t="s">
        <v>22</v>
      </c>
    </row>
    <row r="3091" spans="1:11" ht="42" customHeight="1">
      <c r="A3091" s="4" t="s">
        <v>7446</v>
      </c>
      <c r="B3091" s="5" t="s">
        <v>7446</v>
      </c>
      <c r="C3091" s="5" t="s">
        <v>65</v>
      </c>
      <c r="D3091" s="5" t="s">
        <v>66</v>
      </c>
      <c r="E3091" s="5" t="s">
        <v>251</v>
      </c>
      <c r="F3091" s="9">
        <v>79</v>
      </c>
      <c r="G3091" s="9">
        <v>879</v>
      </c>
      <c r="H3091" s="5" t="s">
        <v>20</v>
      </c>
      <c r="I3091" s="5" t="s">
        <v>7447</v>
      </c>
      <c r="J3091" s="12" t="str">
        <f>HYPERLINK("https://www.boe.es/gazeta/dias/1804/10/02/pdfs/GMD-1804-79.pdf#page=9","Abrir facsímil")</f>
        <v>Abrir facsímil</v>
      </c>
      <c r="K3091" s="15" t="s">
        <v>22</v>
      </c>
    </row>
    <row r="3092" spans="1:11" ht="42" customHeight="1">
      <c r="A3092" s="4" t="s">
        <v>7448</v>
      </c>
      <c r="B3092" s="5" t="s">
        <v>7448</v>
      </c>
      <c r="C3092" s="5" t="s">
        <v>27</v>
      </c>
      <c r="D3092" s="5" t="s">
        <v>28</v>
      </c>
      <c r="E3092" s="5" t="s">
        <v>264</v>
      </c>
      <c r="F3092" s="9">
        <v>49</v>
      </c>
      <c r="G3092" s="9">
        <v>545</v>
      </c>
      <c r="H3092" s="5" t="s">
        <v>20</v>
      </c>
      <c r="I3092" s="5" t="s">
        <v>7449</v>
      </c>
      <c r="J3092" s="12" t="str">
        <f>HYPERLINK("https://www.boe.es/gazeta/dias/1804/06/19/pdfs/GMD-1804-49.pdf#page=7","Abrir facsímil")</f>
        <v>Abrir facsímil</v>
      </c>
      <c r="K3092" s="15" t="s">
        <v>22</v>
      </c>
    </row>
    <row r="3093" spans="1:11" ht="42" customHeight="1">
      <c r="A3093" s="4" t="s">
        <v>7450</v>
      </c>
      <c r="B3093" s="5" t="s">
        <v>7450</v>
      </c>
      <c r="C3093" s="5" t="s">
        <v>17</v>
      </c>
      <c r="D3093" s="5" t="s">
        <v>18</v>
      </c>
      <c r="E3093" s="5" t="s">
        <v>191</v>
      </c>
      <c r="F3093" s="9">
        <v>101</v>
      </c>
      <c r="G3093" s="9">
        <v>1131</v>
      </c>
      <c r="H3093" s="5" t="s">
        <v>20</v>
      </c>
      <c r="I3093" s="5" t="s">
        <v>7451</v>
      </c>
      <c r="J3093" s="12" t="str">
        <f>HYPERLINK("https://www.boe.es/gazeta/dias/1804/12/18/pdfs/GMD-1804-101.pdf#page=11","Abrir facsímil")</f>
        <v>Abrir facsímil</v>
      </c>
      <c r="K3093" s="15" t="s">
        <v>22</v>
      </c>
    </row>
    <row r="3094" spans="1:11" ht="42" customHeight="1">
      <c r="A3094" s="4" t="s">
        <v>7452</v>
      </c>
      <c r="B3094" s="5" t="s">
        <v>7452</v>
      </c>
      <c r="C3094" s="5" t="s">
        <v>17</v>
      </c>
      <c r="D3094" s="5" t="s">
        <v>18</v>
      </c>
      <c r="E3094" s="5" t="s">
        <v>41</v>
      </c>
      <c r="F3094" s="9">
        <v>24</v>
      </c>
      <c r="G3094" s="9">
        <v>274</v>
      </c>
      <c r="H3094" s="5" t="s">
        <v>20</v>
      </c>
      <c r="I3094" s="5" t="s">
        <v>7453</v>
      </c>
      <c r="J3094" s="12" t="str">
        <f>HYPERLINK("https://www.boe.es/gazeta/dias/1804/03/23/pdfs/GMD-1804-24.pdf#page=8","Abrir facsímil")</f>
        <v>Abrir facsímil</v>
      </c>
      <c r="K3094" s="15" t="s">
        <v>22</v>
      </c>
    </row>
    <row r="3095" spans="1:11" ht="42" customHeight="1">
      <c r="A3095" s="4" t="s">
        <v>7454</v>
      </c>
      <c r="B3095" s="5" t="s">
        <v>7454</v>
      </c>
      <c r="C3095" s="5" t="s">
        <v>27</v>
      </c>
      <c r="D3095" s="5" t="s">
        <v>28</v>
      </c>
      <c r="E3095" s="5" t="s">
        <v>709</v>
      </c>
      <c r="F3095" s="9">
        <v>82</v>
      </c>
      <c r="G3095" s="9">
        <v>906</v>
      </c>
      <c r="H3095" s="5" t="s">
        <v>20</v>
      </c>
      <c r="I3095" s="5" t="s">
        <v>7455</v>
      </c>
      <c r="J3095" s="12" t="str">
        <f>HYPERLINK("https://www.boe.es/gazeta/dias/1804/10/12/pdfs/GMD-1804-82.pdf#page=8","Abrir facsímil")</f>
        <v>Abrir facsímil</v>
      </c>
      <c r="K3095" s="15" t="s">
        <v>22</v>
      </c>
    </row>
    <row r="3096" spans="1:11" ht="42" customHeight="1">
      <c r="A3096" s="4" t="s">
        <v>7456</v>
      </c>
      <c r="B3096" s="5" t="s">
        <v>7456</v>
      </c>
      <c r="C3096" s="5" t="s">
        <v>27</v>
      </c>
      <c r="D3096" s="5" t="s">
        <v>28</v>
      </c>
      <c r="E3096" s="5" t="s">
        <v>398</v>
      </c>
      <c r="F3096" s="9">
        <v>22</v>
      </c>
      <c r="G3096" s="9">
        <v>244</v>
      </c>
      <c r="H3096" s="5" t="s">
        <v>20</v>
      </c>
      <c r="I3096" s="5" t="s">
        <v>7457</v>
      </c>
      <c r="J3096" s="12" t="str">
        <f>HYPERLINK("https://www.boe.es/gazeta/dias/1804/03/16/pdfs/GMD-1804-22.pdf#page=8","Abrir facsímil")</f>
        <v>Abrir facsímil</v>
      </c>
      <c r="K3096" s="15" t="s">
        <v>22</v>
      </c>
    </row>
    <row r="3097" spans="1:11" ht="42" customHeight="1">
      <c r="A3097" s="4" t="s">
        <v>7456</v>
      </c>
      <c r="B3097" s="5" t="s">
        <v>7456</v>
      </c>
      <c r="C3097" s="5" t="s">
        <v>27</v>
      </c>
      <c r="D3097" s="5" t="s">
        <v>28</v>
      </c>
      <c r="E3097" s="5" t="s">
        <v>106</v>
      </c>
      <c r="F3097" s="9">
        <v>34</v>
      </c>
      <c r="G3097" s="9">
        <v>375</v>
      </c>
      <c r="H3097" s="5" t="s">
        <v>20</v>
      </c>
      <c r="I3097" s="5" t="s">
        <v>7458</v>
      </c>
      <c r="J3097" s="12" t="str">
        <f>HYPERLINK("https://www.boe.es/gazeta/dias/1804/04/27/pdfs/GMD-1804-34.pdf#page=5","Abrir facsímil")</f>
        <v>Abrir facsímil</v>
      </c>
      <c r="K3097" s="15" t="s">
        <v>22</v>
      </c>
    </row>
    <row r="3098" spans="1:11" ht="42" customHeight="1">
      <c r="A3098" s="4" t="s">
        <v>7459</v>
      </c>
      <c r="B3098" s="5" t="s">
        <v>7460</v>
      </c>
      <c r="C3098" s="5" t="s">
        <v>27</v>
      </c>
      <c r="D3098" s="5" t="s">
        <v>28</v>
      </c>
      <c r="E3098" s="5" t="s">
        <v>421</v>
      </c>
      <c r="F3098" s="9">
        <v>47</v>
      </c>
      <c r="G3098" s="9">
        <v>528</v>
      </c>
      <c r="H3098" s="5" t="s">
        <v>20</v>
      </c>
      <c r="I3098" s="5" t="s">
        <v>7461</v>
      </c>
      <c r="J3098" s="12" t="str">
        <f>HYPERLINK("https://www.boe.es/gazeta/dias/1804/06/12/pdfs/GMD-1804-47.pdf#page=10","Abrir facsímil")</f>
        <v>Abrir facsímil</v>
      </c>
      <c r="K3098" s="15" t="s">
        <v>22</v>
      </c>
    </row>
    <row r="3099" spans="1:11" ht="42" customHeight="1">
      <c r="A3099" s="4" t="s">
        <v>7462</v>
      </c>
      <c r="B3099" s="5" t="s">
        <v>7462</v>
      </c>
      <c r="C3099" s="5" t="s">
        <v>17</v>
      </c>
      <c r="D3099" s="5" t="s">
        <v>18</v>
      </c>
      <c r="E3099" s="5" t="s">
        <v>71</v>
      </c>
      <c r="F3099" s="9">
        <v>99</v>
      </c>
      <c r="G3099" s="9">
        <v>1107</v>
      </c>
      <c r="H3099" s="5" t="s">
        <v>20</v>
      </c>
      <c r="I3099" s="5" t="s">
        <v>7463</v>
      </c>
      <c r="J3099" s="12" t="str">
        <f>HYPERLINK("https://www.boe.es/gazeta/dias/1804/12/11/pdfs/GMD-1804-99.pdf#page=7","Abrir facsímil")</f>
        <v>Abrir facsímil</v>
      </c>
      <c r="K3099" s="15" t="s">
        <v>22</v>
      </c>
    </row>
    <row r="3100" spans="1:11" ht="42" customHeight="1">
      <c r="A3100" s="4" t="s">
        <v>7464</v>
      </c>
      <c r="B3100" s="5" t="s">
        <v>7464</v>
      </c>
      <c r="C3100" s="5" t="s">
        <v>198</v>
      </c>
      <c r="D3100" s="5" t="s">
        <v>66</v>
      </c>
      <c r="E3100" s="5" t="s">
        <v>147</v>
      </c>
      <c r="F3100" s="9">
        <v>77</v>
      </c>
      <c r="G3100" s="9">
        <v>859</v>
      </c>
      <c r="H3100" s="5" t="s">
        <v>20</v>
      </c>
      <c r="I3100" s="5" t="s">
        <v>7465</v>
      </c>
      <c r="J3100" s="12" t="str">
        <f>HYPERLINK("https://www.boe.es/gazeta/dias/1804/09/25/pdfs/GMD-1804-77.pdf#page=9","Abrir facsímil")</f>
        <v>Abrir facsímil</v>
      </c>
      <c r="K3100" s="15" t="s">
        <v>22</v>
      </c>
    </row>
    <row r="3101" spans="1:11" ht="42" customHeight="1">
      <c r="A3101" s="4" t="s">
        <v>7464</v>
      </c>
      <c r="B3101" s="5" t="s">
        <v>7464</v>
      </c>
      <c r="C3101" s="5" t="s">
        <v>27</v>
      </c>
      <c r="D3101" s="5" t="s">
        <v>28</v>
      </c>
      <c r="E3101" s="5" t="s">
        <v>43</v>
      </c>
      <c r="F3101" s="9">
        <v>84</v>
      </c>
      <c r="G3101" s="9">
        <v>928</v>
      </c>
      <c r="H3101" s="5" t="s">
        <v>20</v>
      </c>
      <c r="I3101" s="5" t="s">
        <v>7466</v>
      </c>
      <c r="J3101" s="12" t="str">
        <f>HYPERLINK("https://www.boe.es/gazeta/dias/1804/10/19/pdfs/GMD-1804-84.pdf#page=6","Abrir facsímil")</f>
        <v>Abrir facsímil</v>
      </c>
      <c r="K3101" s="15" t="s">
        <v>22</v>
      </c>
    </row>
    <row r="3102" spans="1:11" ht="42" customHeight="1">
      <c r="A3102" s="4" t="s">
        <v>7464</v>
      </c>
      <c r="B3102" s="5" t="s">
        <v>7464</v>
      </c>
      <c r="C3102" s="5" t="s">
        <v>27</v>
      </c>
      <c r="D3102" s="5" t="s">
        <v>28</v>
      </c>
      <c r="E3102" s="5" t="s">
        <v>81</v>
      </c>
      <c r="F3102" s="9">
        <v>98</v>
      </c>
      <c r="G3102" s="9">
        <v>1088</v>
      </c>
      <c r="H3102" s="5" t="s">
        <v>20</v>
      </c>
      <c r="I3102" s="5" t="s">
        <v>7467</v>
      </c>
      <c r="J3102" s="12" t="str">
        <f>HYPERLINK("https://www.boe.es/gazeta/dias/1804/12/07/pdfs/GMD-1804-98.pdf#page=4","Abrir facsímil")</f>
        <v>Abrir facsímil</v>
      </c>
      <c r="K3102" s="15" t="s">
        <v>22</v>
      </c>
    </row>
    <row r="3103" spans="1:11" ht="42" customHeight="1">
      <c r="A3103" s="4" t="s">
        <v>7468</v>
      </c>
      <c r="B3103" s="5" t="s">
        <v>7468</v>
      </c>
      <c r="C3103" s="5" t="s">
        <v>85</v>
      </c>
      <c r="D3103" s="5" t="s">
        <v>86</v>
      </c>
      <c r="E3103" s="5" t="s">
        <v>103</v>
      </c>
      <c r="F3103" s="9">
        <v>11</v>
      </c>
      <c r="G3103" s="9">
        <v>124</v>
      </c>
      <c r="H3103" s="5" t="s">
        <v>20</v>
      </c>
      <c r="I3103" s="5" t="s">
        <v>7469</v>
      </c>
      <c r="J3103" s="12" t="str">
        <f>HYPERLINK("https://www.boe.es/gazeta/dias/1804/02/07/pdfs/GMD-1804-11.pdf#page=12","Abrir facsímil")</f>
        <v>Abrir facsímil</v>
      </c>
      <c r="K3103" s="15" t="s">
        <v>22</v>
      </c>
    </row>
    <row r="3104" spans="1:11" ht="42" customHeight="1">
      <c r="A3104" s="4" t="s">
        <v>7470</v>
      </c>
      <c r="B3104" s="5" t="s">
        <v>7470</v>
      </c>
      <c r="C3104" s="5" t="s">
        <v>27</v>
      </c>
      <c r="D3104" s="5" t="s">
        <v>28</v>
      </c>
      <c r="E3104" s="5" t="s">
        <v>143</v>
      </c>
      <c r="F3104" s="9">
        <v>87</v>
      </c>
      <c r="G3104" s="9">
        <v>963</v>
      </c>
      <c r="H3104" s="5" t="s">
        <v>20</v>
      </c>
      <c r="I3104" s="5" t="s">
        <v>7471</v>
      </c>
      <c r="J3104" s="12" t="str">
        <f>HYPERLINK("https://www.boe.es/gazeta/dias/1804/10/30/pdfs/GMD-1804-87.pdf#page=7","Abrir facsímil")</f>
        <v>Abrir facsímil</v>
      </c>
      <c r="K3104" s="15" t="s">
        <v>22</v>
      </c>
    </row>
    <row r="3105" spans="1:11" ht="42" customHeight="1">
      <c r="A3105" s="4" t="s">
        <v>7472</v>
      </c>
      <c r="B3105" s="5" t="s">
        <v>7472</v>
      </c>
      <c r="C3105" s="5" t="s">
        <v>65</v>
      </c>
      <c r="D3105" s="5" t="s">
        <v>66</v>
      </c>
      <c r="E3105" s="5" t="s">
        <v>490</v>
      </c>
      <c r="F3105" s="9">
        <v>100</v>
      </c>
      <c r="G3105" s="9">
        <v>1118</v>
      </c>
      <c r="H3105" s="5" t="s">
        <v>20</v>
      </c>
      <c r="I3105" s="5" t="s">
        <v>7473</v>
      </c>
      <c r="J3105" s="12" t="str">
        <f>HYPERLINK("https://www.boe.es/gazeta/dias/1804/12/14/pdfs/GMD-1804-100.pdf#page=10","Abrir facsímil")</f>
        <v>Abrir facsímil</v>
      </c>
      <c r="K3105" s="15" t="s">
        <v>22</v>
      </c>
    </row>
    <row r="3106" spans="1:11" ht="42" customHeight="1">
      <c r="A3106" s="4" t="s">
        <v>7474</v>
      </c>
      <c r="B3106" s="5" t="s">
        <v>7474</v>
      </c>
      <c r="C3106" s="5" t="s">
        <v>27</v>
      </c>
      <c r="D3106" s="5" t="s">
        <v>28</v>
      </c>
      <c r="E3106" s="5" t="s">
        <v>320</v>
      </c>
      <c r="F3106" s="9">
        <v>31</v>
      </c>
      <c r="G3106" s="9">
        <v>343</v>
      </c>
      <c r="H3106" s="5" t="s">
        <v>20</v>
      </c>
      <c r="I3106" s="5" t="s">
        <v>7475</v>
      </c>
      <c r="J3106" s="12" t="str">
        <f>HYPERLINK("https://www.boe.es/gazeta/dias/1804/04/17/pdfs/GMD-1804-31.pdf#page=9","Abrir facsímil")</f>
        <v>Abrir facsímil</v>
      </c>
      <c r="K3106" s="15" t="s">
        <v>22</v>
      </c>
    </row>
    <row r="3107" spans="1:11" ht="42" customHeight="1">
      <c r="A3107" s="4" t="s">
        <v>7474</v>
      </c>
      <c r="B3107" s="5" t="s">
        <v>7474</v>
      </c>
      <c r="C3107" s="5" t="s">
        <v>85</v>
      </c>
      <c r="D3107" s="5" t="s">
        <v>86</v>
      </c>
      <c r="E3107" s="5" t="s">
        <v>547</v>
      </c>
      <c r="F3107" s="9">
        <v>68</v>
      </c>
      <c r="G3107" s="9">
        <v>765</v>
      </c>
      <c r="H3107" s="5" t="s">
        <v>20</v>
      </c>
      <c r="I3107" s="5" t="s">
        <v>7476</v>
      </c>
      <c r="J3107" s="12" t="str">
        <f>HYPERLINK("https://www.boe.es/gazeta/dias/1804/08/24/pdfs/GMD-1804-68.pdf#page=11","Abrir facsímil")</f>
        <v>Abrir facsímil</v>
      </c>
      <c r="K3107" s="15" t="s">
        <v>22</v>
      </c>
    </row>
    <row r="3108" spans="1:11" ht="42" customHeight="1">
      <c r="A3108" s="4" t="s">
        <v>7477</v>
      </c>
      <c r="B3108" s="5" t="s">
        <v>7477</v>
      </c>
      <c r="C3108" s="5" t="s">
        <v>27</v>
      </c>
      <c r="D3108" s="5" t="s">
        <v>28</v>
      </c>
      <c r="E3108" s="5" t="s">
        <v>421</v>
      </c>
      <c r="F3108" s="9">
        <v>47</v>
      </c>
      <c r="G3108" s="9">
        <v>528</v>
      </c>
      <c r="H3108" s="5" t="s">
        <v>20</v>
      </c>
      <c r="I3108" s="5" t="s">
        <v>7478</v>
      </c>
      <c r="J3108" s="12" t="str">
        <f>HYPERLINK("https://www.boe.es/gazeta/dias/1804/06/12/pdfs/GMD-1804-47.pdf#page=10","Abrir facsímil")</f>
        <v>Abrir facsímil</v>
      </c>
      <c r="K3108" s="15" t="s">
        <v>22</v>
      </c>
    </row>
    <row r="3109" spans="1:11" ht="42" customHeight="1">
      <c r="A3109" s="4" t="s">
        <v>7479</v>
      </c>
      <c r="B3109" s="5" t="s">
        <v>7479</v>
      </c>
      <c r="C3109" s="5" t="s">
        <v>27</v>
      </c>
      <c r="D3109" s="5" t="s">
        <v>28</v>
      </c>
      <c r="E3109" s="5" t="s">
        <v>245</v>
      </c>
      <c r="F3109" s="9">
        <v>6</v>
      </c>
      <c r="G3109" s="9">
        <v>58</v>
      </c>
      <c r="H3109" s="5" t="s">
        <v>20</v>
      </c>
      <c r="I3109" s="5" t="s">
        <v>7480</v>
      </c>
      <c r="J3109" s="12" t="str">
        <f>HYPERLINK("https://www.boe.es/gazeta/dias/1804/01/20/pdfs/GMD-1804-6.pdf#page=10","Abrir facsímil")</f>
        <v>Abrir facsímil</v>
      </c>
      <c r="K3109" s="15" t="s">
        <v>22</v>
      </c>
    </row>
    <row r="3110" spans="1:11" ht="42" customHeight="1">
      <c r="A3110" s="4" t="s">
        <v>7481</v>
      </c>
      <c r="B3110" s="5" t="s">
        <v>7482</v>
      </c>
      <c r="C3110" s="5" t="s">
        <v>17</v>
      </c>
      <c r="D3110" s="5" t="s">
        <v>18</v>
      </c>
      <c r="E3110" s="5" t="s">
        <v>71</v>
      </c>
      <c r="F3110" s="9">
        <v>99</v>
      </c>
      <c r="G3110" s="9">
        <v>1106</v>
      </c>
      <c r="H3110" s="5" t="s">
        <v>20</v>
      </c>
      <c r="I3110" s="5" t="s">
        <v>7483</v>
      </c>
      <c r="J3110" s="12" t="str">
        <f>HYPERLINK("https://www.boe.es/gazeta/dias/1804/12/11/pdfs/GMD-1804-99.pdf#page=6","Abrir facsímil")</f>
        <v>Abrir facsímil</v>
      </c>
      <c r="K3110" s="15" t="s">
        <v>22</v>
      </c>
    </row>
    <row r="3111" spans="1:11" ht="42" customHeight="1">
      <c r="A3111" s="4" t="s">
        <v>7484</v>
      </c>
      <c r="B3111" s="5" t="s">
        <v>7484</v>
      </c>
      <c r="C3111" s="5" t="s">
        <v>27</v>
      </c>
      <c r="D3111" s="5" t="s">
        <v>28</v>
      </c>
      <c r="E3111" s="5" t="s">
        <v>258</v>
      </c>
      <c r="F3111" s="9">
        <v>14</v>
      </c>
      <c r="G3111" s="9">
        <v>153</v>
      </c>
      <c r="H3111" s="5" t="s">
        <v>20</v>
      </c>
      <c r="I3111" s="5" t="s">
        <v>7485</v>
      </c>
      <c r="J3111" s="12" t="str">
        <f>HYPERLINK("https://www.boe.es/gazeta/dias/1804/02/17/pdfs/GMD-1804-14.pdf#page=9","Abrir facsímil")</f>
        <v>Abrir facsímil</v>
      </c>
      <c r="K3111" s="15" t="s">
        <v>22</v>
      </c>
    </row>
    <row r="3112" spans="1:11" ht="42" customHeight="1">
      <c r="A3112" s="4" t="s">
        <v>7486</v>
      </c>
      <c r="B3112" s="5" t="s">
        <v>7486</v>
      </c>
      <c r="C3112" s="5" t="s">
        <v>27</v>
      </c>
      <c r="D3112" s="5" t="s">
        <v>28</v>
      </c>
      <c r="E3112" s="5" t="s">
        <v>666</v>
      </c>
      <c r="F3112" s="9">
        <v>57</v>
      </c>
      <c r="G3112" s="9">
        <v>632</v>
      </c>
      <c r="H3112" s="5" t="s">
        <v>20</v>
      </c>
      <c r="I3112" s="5" t="s">
        <v>7487</v>
      </c>
      <c r="J3112" s="12" t="str">
        <f>HYPERLINK("https://www.boe.es/gazeta/dias/1804/07/17/pdfs/GMD-1804-57.pdf#page=10","Abrir facsímil")</f>
        <v>Abrir facsímil</v>
      </c>
      <c r="K3112" s="15" t="s">
        <v>22</v>
      </c>
    </row>
    <row r="3113" spans="1:11" ht="42" customHeight="1">
      <c r="A3113" s="4" t="s">
        <v>7486</v>
      </c>
      <c r="B3113" s="5" t="s">
        <v>7486</v>
      </c>
      <c r="C3113" s="5" t="s">
        <v>27</v>
      </c>
      <c r="D3113" s="5" t="s">
        <v>28</v>
      </c>
      <c r="E3113" s="5" t="s">
        <v>490</v>
      </c>
      <c r="F3113" s="9">
        <v>100</v>
      </c>
      <c r="G3113" s="9">
        <v>1119</v>
      </c>
      <c r="H3113" s="5" t="s">
        <v>20</v>
      </c>
      <c r="I3113" s="5" t="s">
        <v>7488</v>
      </c>
      <c r="J3113" s="12" t="str">
        <f>HYPERLINK("https://www.boe.es/gazeta/dias/1804/12/14/pdfs/GMD-1804-100.pdf#page=11","Abrir facsímil")</f>
        <v>Abrir facsímil</v>
      </c>
      <c r="K3113" s="15" t="s">
        <v>22</v>
      </c>
    </row>
    <row r="3114" spans="1:11" ht="42" customHeight="1">
      <c r="A3114" s="4" t="s">
        <v>7489</v>
      </c>
      <c r="B3114" s="5" t="s">
        <v>7489</v>
      </c>
      <c r="C3114" s="5" t="s">
        <v>65</v>
      </c>
      <c r="D3114" s="5" t="s">
        <v>66</v>
      </c>
      <c r="E3114" s="5" t="s">
        <v>479</v>
      </c>
      <c r="F3114" s="9">
        <v>5</v>
      </c>
      <c r="G3114" s="9">
        <v>46</v>
      </c>
      <c r="H3114" s="5" t="s">
        <v>20</v>
      </c>
      <c r="I3114" s="5" t="s">
        <v>7490</v>
      </c>
      <c r="J3114" s="12" t="str">
        <f>HYPERLINK("https://www.boe.es/gazeta/dias/1804/01/17/pdfs/GMD-1804-5.pdf#page=6","Abrir facsímil")</f>
        <v>Abrir facsímil</v>
      </c>
      <c r="K3114" s="15" t="s">
        <v>22</v>
      </c>
    </row>
    <row r="3115" spans="1:11" ht="42" customHeight="1">
      <c r="A3115" s="4" t="s">
        <v>7491</v>
      </c>
      <c r="B3115" s="5" t="s">
        <v>7491</v>
      </c>
      <c r="C3115" s="5" t="s">
        <v>27</v>
      </c>
      <c r="D3115" s="5" t="s">
        <v>28</v>
      </c>
      <c r="E3115" s="5" t="s">
        <v>147</v>
      </c>
      <c r="F3115" s="9">
        <v>77</v>
      </c>
      <c r="G3115" s="9">
        <v>859</v>
      </c>
      <c r="H3115" s="5" t="s">
        <v>20</v>
      </c>
      <c r="I3115" s="5" t="s">
        <v>7492</v>
      </c>
      <c r="J3115" s="12" t="str">
        <f>HYPERLINK("https://www.boe.es/gazeta/dias/1804/09/25/pdfs/GMD-1804-77.pdf#page=9","Abrir facsímil")</f>
        <v>Abrir facsímil</v>
      </c>
      <c r="K3115" s="15" t="s">
        <v>22</v>
      </c>
    </row>
    <row r="3116" spans="1:11" ht="42" customHeight="1">
      <c r="A3116" s="4" t="s">
        <v>7493</v>
      </c>
      <c r="B3116" s="5" t="s">
        <v>7493</v>
      </c>
      <c r="C3116" s="5" t="s">
        <v>27</v>
      </c>
      <c r="D3116" s="5" t="s">
        <v>28</v>
      </c>
      <c r="E3116" s="5" t="s">
        <v>490</v>
      </c>
      <c r="F3116" s="9">
        <v>100</v>
      </c>
      <c r="G3116" s="9">
        <v>1119</v>
      </c>
      <c r="H3116" s="5" t="s">
        <v>20</v>
      </c>
      <c r="I3116" s="5" t="s">
        <v>7494</v>
      </c>
      <c r="J3116" s="12" t="str">
        <f>HYPERLINK("https://www.boe.es/gazeta/dias/1804/12/14/pdfs/GMD-1804-100.pdf#page=11","Abrir facsímil")</f>
        <v>Abrir facsímil</v>
      </c>
      <c r="K3116" s="15" t="s">
        <v>22</v>
      </c>
    </row>
    <row r="3117" spans="1:11" ht="42" customHeight="1">
      <c r="A3117" s="4" t="s">
        <v>7495</v>
      </c>
      <c r="B3117" s="5" t="s">
        <v>7495</v>
      </c>
      <c r="C3117" s="5" t="s">
        <v>65</v>
      </c>
      <c r="D3117" s="5" t="s">
        <v>66</v>
      </c>
      <c r="E3117" s="5" t="s">
        <v>33</v>
      </c>
      <c r="F3117" s="9">
        <v>48</v>
      </c>
      <c r="G3117" s="9">
        <v>536</v>
      </c>
      <c r="H3117" s="5" t="s">
        <v>20</v>
      </c>
      <c r="I3117" s="5" t="s">
        <v>7496</v>
      </c>
      <c r="J3117" s="12" t="str">
        <f>HYPERLINK("https://www.boe.es/gazeta/dias/1804/06/15/pdfs/GMD-1804-48.pdf#page=6","Abrir facsímil")</f>
        <v>Abrir facsímil</v>
      </c>
      <c r="K3117" s="15" t="s">
        <v>22</v>
      </c>
    </row>
    <row r="3118" spans="1:11" ht="42" customHeight="1">
      <c r="A3118" s="4" t="s">
        <v>7497</v>
      </c>
      <c r="B3118" s="5" t="s">
        <v>7498</v>
      </c>
      <c r="C3118" s="5" t="s">
        <v>27</v>
      </c>
      <c r="D3118" s="5" t="s">
        <v>28</v>
      </c>
      <c r="E3118" s="5" t="s">
        <v>67</v>
      </c>
      <c r="F3118" s="9">
        <v>59</v>
      </c>
      <c r="G3118" s="9">
        <v>652</v>
      </c>
      <c r="H3118" s="5" t="s">
        <v>20</v>
      </c>
      <c r="I3118" s="5" t="s">
        <v>7499</v>
      </c>
      <c r="J3118" s="12" t="str">
        <f>HYPERLINK("https://www.boe.es/gazeta/dias/1804/07/24/pdfs/GMD-1804-59.pdf#page=6","Abrir facsímil")</f>
        <v>Abrir facsímil</v>
      </c>
      <c r="K3118" s="15" t="s">
        <v>22</v>
      </c>
    </row>
    <row r="3119" spans="1:11" ht="42" customHeight="1">
      <c r="A3119" s="4" t="s">
        <v>7500</v>
      </c>
      <c r="B3119" s="5" t="s">
        <v>7500</v>
      </c>
      <c r="C3119" s="5" t="s">
        <v>17</v>
      </c>
      <c r="D3119" s="5" t="s">
        <v>18</v>
      </c>
      <c r="E3119" s="5" t="s">
        <v>71</v>
      </c>
      <c r="F3119" s="9">
        <v>99</v>
      </c>
      <c r="G3119" s="9">
        <v>1107</v>
      </c>
      <c r="H3119" s="5" t="s">
        <v>20</v>
      </c>
      <c r="I3119" s="5" t="s">
        <v>7501</v>
      </c>
      <c r="J3119" s="12" t="str">
        <f>HYPERLINK("https://www.boe.es/gazeta/dias/1804/12/11/pdfs/GMD-1804-99.pdf#page=7","Abrir facsímil")</f>
        <v>Abrir facsímil</v>
      </c>
      <c r="K3119" s="15" t="s">
        <v>22</v>
      </c>
    </row>
    <row r="3120" spans="1:11" ht="42" customHeight="1">
      <c r="A3120" s="4" t="s">
        <v>7502</v>
      </c>
      <c r="B3120" s="5" t="s">
        <v>7502</v>
      </c>
      <c r="C3120" s="5" t="s">
        <v>27</v>
      </c>
      <c r="D3120" s="5" t="s">
        <v>28</v>
      </c>
      <c r="E3120" s="5" t="s">
        <v>317</v>
      </c>
      <c r="F3120" s="9">
        <v>56</v>
      </c>
      <c r="G3120" s="9">
        <v>620</v>
      </c>
      <c r="H3120" s="5" t="s">
        <v>20</v>
      </c>
      <c r="I3120" s="5" t="s">
        <v>7503</v>
      </c>
      <c r="J3120" s="12" t="str">
        <f>HYPERLINK("https://www.boe.es/gazeta/dias/1804/07/13/pdfs/GMD-1804-56.pdf#page=6","Abrir facsímil")</f>
        <v>Abrir facsímil</v>
      </c>
      <c r="K3120" s="15" t="s">
        <v>22</v>
      </c>
    </row>
    <row r="3121" spans="1:11" ht="42" customHeight="1">
      <c r="A3121" s="4" t="s">
        <v>7504</v>
      </c>
      <c r="B3121" s="5" t="s">
        <v>7504</v>
      </c>
      <c r="C3121" s="5" t="s">
        <v>17</v>
      </c>
      <c r="D3121" s="5" t="s">
        <v>18</v>
      </c>
      <c r="E3121" s="5" t="s">
        <v>258</v>
      </c>
      <c r="F3121" s="9">
        <v>14</v>
      </c>
      <c r="G3121" s="9">
        <v>153</v>
      </c>
      <c r="H3121" s="5" t="s">
        <v>20</v>
      </c>
      <c r="I3121" s="5" t="s">
        <v>7505</v>
      </c>
      <c r="J3121" s="12" t="str">
        <f>HYPERLINK("https://www.boe.es/gazeta/dias/1804/02/17/pdfs/GMD-1804-14.pdf#page=9","Abrir facsímil")</f>
        <v>Abrir facsímil</v>
      </c>
      <c r="K3121" s="15" t="s">
        <v>22</v>
      </c>
    </row>
    <row r="3122" spans="1:11" ht="42" customHeight="1">
      <c r="A3122" s="4" t="s">
        <v>7506</v>
      </c>
      <c r="B3122" s="5" t="s">
        <v>7506</v>
      </c>
      <c r="C3122" s="5" t="s">
        <v>17</v>
      </c>
      <c r="D3122" s="5" t="s">
        <v>18</v>
      </c>
      <c r="E3122" s="5" t="s">
        <v>421</v>
      </c>
      <c r="F3122" s="9">
        <v>47</v>
      </c>
      <c r="G3122" s="9">
        <v>528</v>
      </c>
      <c r="H3122" s="5" t="s">
        <v>20</v>
      </c>
      <c r="I3122" s="5" t="s">
        <v>7507</v>
      </c>
      <c r="J3122" s="12" t="str">
        <f>HYPERLINK("https://www.boe.es/gazeta/dias/1804/06/12/pdfs/GMD-1804-47.pdf#page=10","Abrir facsímil")</f>
        <v>Abrir facsímil</v>
      </c>
      <c r="K3122" s="15" t="s">
        <v>22</v>
      </c>
    </row>
    <row r="3123" spans="1:11" ht="42" customHeight="1">
      <c r="A3123" s="4" t="s">
        <v>7508</v>
      </c>
      <c r="B3123" s="5" t="s">
        <v>7508</v>
      </c>
      <c r="C3123" s="5" t="s">
        <v>198</v>
      </c>
      <c r="D3123" s="5" t="s">
        <v>66</v>
      </c>
      <c r="E3123" s="5" t="s">
        <v>320</v>
      </c>
      <c r="F3123" s="9">
        <v>31</v>
      </c>
      <c r="G3123" s="9">
        <v>344</v>
      </c>
      <c r="H3123" s="5" t="s">
        <v>20</v>
      </c>
      <c r="I3123" s="5" t="s">
        <v>7509</v>
      </c>
      <c r="J3123" s="12" t="str">
        <f>HYPERLINK("https://www.boe.es/gazeta/dias/1804/04/17/pdfs/GMD-1804-31.pdf#page=10","Abrir facsímil")</f>
        <v>Abrir facsímil</v>
      </c>
      <c r="K3123" s="15" t="s">
        <v>22</v>
      </c>
    </row>
    <row r="3124" spans="1:11" ht="42" customHeight="1">
      <c r="A3124" s="4" t="s">
        <v>7508</v>
      </c>
      <c r="B3124" s="5" t="s">
        <v>7508</v>
      </c>
      <c r="C3124" s="5" t="s">
        <v>17</v>
      </c>
      <c r="D3124" s="5" t="s">
        <v>18</v>
      </c>
      <c r="E3124" s="5" t="s">
        <v>453</v>
      </c>
      <c r="F3124" s="9">
        <v>33</v>
      </c>
      <c r="G3124" s="9">
        <v>366</v>
      </c>
      <c r="H3124" s="5" t="s">
        <v>20</v>
      </c>
      <c r="I3124" s="5" t="s">
        <v>7510</v>
      </c>
      <c r="J3124" s="12" t="str">
        <f>HYPERLINK("https://www.boe.es/gazeta/dias/1804/04/24/pdfs/GMD-1804-33.pdf#page=8","Abrir facsímil")</f>
        <v>Abrir facsímil</v>
      </c>
      <c r="K3124" s="15" t="s">
        <v>22</v>
      </c>
    </row>
    <row r="3125" spans="1:11" ht="42" customHeight="1">
      <c r="A3125" s="4" t="s">
        <v>7511</v>
      </c>
      <c r="B3125" s="5" t="s">
        <v>7511</v>
      </c>
      <c r="C3125" s="5" t="s">
        <v>17</v>
      </c>
      <c r="D3125" s="5" t="s">
        <v>18</v>
      </c>
      <c r="E3125" s="5" t="s">
        <v>54</v>
      </c>
      <c r="F3125" s="9">
        <v>63</v>
      </c>
      <c r="G3125" s="9">
        <v>699</v>
      </c>
      <c r="H3125" s="5" t="s">
        <v>20</v>
      </c>
      <c r="I3125" s="5" t="s">
        <v>7512</v>
      </c>
      <c r="J3125" s="12" t="str">
        <f>HYPERLINK("https://www.boe.es/gazeta/dias/1804/08/07/pdfs/GMD-1804-63.pdf#page=9","Abrir facsímil")</f>
        <v>Abrir facsímil</v>
      </c>
      <c r="K3125" s="15" t="s">
        <v>22</v>
      </c>
    </row>
    <row r="3126" spans="1:11" ht="42" customHeight="1">
      <c r="A3126" s="4" t="s">
        <v>7513</v>
      </c>
      <c r="B3126" s="5" t="s">
        <v>7513</v>
      </c>
      <c r="C3126" s="5" t="s">
        <v>65</v>
      </c>
      <c r="D3126" s="5" t="s">
        <v>66</v>
      </c>
      <c r="E3126" s="5" t="s">
        <v>709</v>
      </c>
      <c r="F3126" s="9">
        <v>82</v>
      </c>
      <c r="G3126" s="9">
        <v>906</v>
      </c>
      <c r="H3126" s="5" t="s">
        <v>20</v>
      </c>
      <c r="I3126" s="5" t="s">
        <v>7514</v>
      </c>
      <c r="J3126" s="12" t="str">
        <f>HYPERLINK("https://www.boe.es/gazeta/dias/1804/10/12/pdfs/GMD-1804-82.pdf#page=8","Abrir facsímil")</f>
        <v>Abrir facsímil</v>
      </c>
      <c r="K3126" s="15" t="s">
        <v>22</v>
      </c>
    </row>
    <row r="3127" spans="1:11" ht="42" customHeight="1">
      <c r="A3127" s="4" t="s">
        <v>7515</v>
      </c>
      <c r="B3127" s="5" t="s">
        <v>7515</v>
      </c>
      <c r="C3127" s="5" t="s">
        <v>27</v>
      </c>
      <c r="D3127" s="5" t="s">
        <v>28</v>
      </c>
      <c r="E3127" s="5" t="s">
        <v>670</v>
      </c>
      <c r="F3127" s="9">
        <v>41</v>
      </c>
      <c r="G3127" s="9">
        <v>460</v>
      </c>
      <c r="H3127" s="5" t="s">
        <v>20</v>
      </c>
      <c r="I3127" s="5" t="s">
        <v>7516</v>
      </c>
      <c r="J3127" s="12" t="str">
        <f>HYPERLINK("https://www.boe.es/gazeta/dias/1804/05/22/pdfs/GMD-1804-41.pdf#page=10","Abrir facsímil")</f>
        <v>Abrir facsímil</v>
      </c>
      <c r="K3127" s="15" t="s">
        <v>22</v>
      </c>
    </row>
    <row r="3128" spans="1:11" ht="42" customHeight="1">
      <c r="A3128" s="4" t="s">
        <v>7517</v>
      </c>
      <c r="B3128" s="5" t="s">
        <v>7518</v>
      </c>
      <c r="C3128" s="5" t="s">
        <v>65</v>
      </c>
      <c r="D3128" s="5" t="s">
        <v>66</v>
      </c>
      <c r="E3128" s="5" t="s">
        <v>794</v>
      </c>
      <c r="F3128" s="9">
        <v>42</v>
      </c>
      <c r="G3128" s="9">
        <v>473</v>
      </c>
      <c r="H3128" s="5" t="s">
        <v>20</v>
      </c>
      <c r="I3128" s="5" t="s">
        <v>7519</v>
      </c>
      <c r="J3128" s="12" t="str">
        <f>HYPERLINK("https://www.boe.es/gazeta/dias/1804/05/25/pdfs/GMD-1804-42.pdf#page=11","Abrir facsímil")</f>
        <v>Abrir facsímil</v>
      </c>
      <c r="K3128" s="15" t="s">
        <v>22</v>
      </c>
    </row>
    <row r="3129" spans="1:11" ht="42" customHeight="1">
      <c r="A3129" s="4" t="s">
        <v>7520</v>
      </c>
      <c r="B3129" s="5" t="s">
        <v>7520</v>
      </c>
      <c r="C3129" s="5" t="s">
        <v>85</v>
      </c>
      <c r="D3129" s="5" t="s">
        <v>86</v>
      </c>
      <c r="E3129" s="5" t="s">
        <v>587</v>
      </c>
      <c r="F3129" s="9">
        <v>62</v>
      </c>
      <c r="G3129" s="9">
        <v>689</v>
      </c>
      <c r="H3129" s="5" t="s">
        <v>20</v>
      </c>
      <c r="I3129" s="5" t="s">
        <v>7521</v>
      </c>
      <c r="J3129" s="12" t="str">
        <f>HYPERLINK("https://www.boe.es/gazeta/dias/1804/08/03/pdfs/GMD-1804-62.pdf#page=11","Abrir facsímil")</f>
        <v>Abrir facsímil</v>
      </c>
      <c r="K3129" s="15" t="s">
        <v>22</v>
      </c>
    </row>
    <row r="3130" spans="1:11" ht="42" customHeight="1">
      <c r="A3130" s="4" t="s">
        <v>7522</v>
      </c>
      <c r="B3130" s="5" t="s">
        <v>7523</v>
      </c>
      <c r="C3130" s="5" t="s">
        <v>85</v>
      </c>
      <c r="D3130" s="5" t="s">
        <v>86</v>
      </c>
      <c r="E3130" s="5" t="s">
        <v>143</v>
      </c>
      <c r="F3130" s="9">
        <v>87</v>
      </c>
      <c r="G3130" s="9">
        <v>958</v>
      </c>
      <c r="H3130" s="5" t="s">
        <v>20</v>
      </c>
      <c r="I3130" s="5" t="s">
        <v>7524</v>
      </c>
      <c r="J3130" s="12" t="str">
        <f>HYPERLINK("https://www.boe.es/gazeta/dias/1804/10/30/pdfs/GMD-1804-87.pdf#page=2","Abrir facsímil")</f>
        <v>Abrir facsímil</v>
      </c>
      <c r="K3130" s="15" t="s">
        <v>22</v>
      </c>
    </row>
    <row r="3131" spans="1:11" ht="42" customHeight="1">
      <c r="A3131" s="4" t="s">
        <v>7525</v>
      </c>
      <c r="B3131" s="5" t="s">
        <v>7525</v>
      </c>
      <c r="C3131" s="5" t="s">
        <v>27</v>
      </c>
      <c r="D3131" s="5" t="s">
        <v>28</v>
      </c>
      <c r="E3131" s="5" t="s">
        <v>1179</v>
      </c>
      <c r="F3131" s="9">
        <v>43</v>
      </c>
      <c r="G3131" s="9">
        <v>480</v>
      </c>
      <c r="H3131" s="5" t="s">
        <v>20</v>
      </c>
      <c r="I3131" s="5" t="s">
        <v>7526</v>
      </c>
      <c r="J3131" s="12" t="str">
        <f>HYPERLINK("https://www.boe.es/gazeta/dias/1804/05/29/pdfs/GMD-1804-43.pdf#page=6","Abrir facsímil")</f>
        <v>Abrir facsímil</v>
      </c>
      <c r="K3131" s="15" t="s">
        <v>22</v>
      </c>
    </row>
    <row r="3132" spans="1:11" ht="42" customHeight="1">
      <c r="A3132" s="4" t="s">
        <v>7527</v>
      </c>
      <c r="B3132" s="5" t="s">
        <v>7527</v>
      </c>
      <c r="C3132" s="5" t="s">
        <v>27</v>
      </c>
      <c r="D3132" s="5" t="s">
        <v>28</v>
      </c>
      <c r="E3132" s="5" t="s">
        <v>67</v>
      </c>
      <c r="F3132" s="9">
        <v>59</v>
      </c>
      <c r="G3132" s="9">
        <v>652</v>
      </c>
      <c r="H3132" s="5" t="s">
        <v>20</v>
      </c>
      <c r="I3132" s="5" t="s">
        <v>7528</v>
      </c>
      <c r="J3132" s="12" t="str">
        <f>HYPERLINK("https://www.boe.es/gazeta/dias/1804/07/24/pdfs/GMD-1804-59.pdf#page=6","Abrir facsímil")</f>
        <v>Abrir facsímil</v>
      </c>
      <c r="K3132" s="15" t="s">
        <v>22</v>
      </c>
    </row>
    <row r="3133" spans="1:11" ht="42" customHeight="1">
      <c r="A3133" s="4" t="s">
        <v>7529</v>
      </c>
      <c r="B3133" s="5" t="s">
        <v>7529</v>
      </c>
      <c r="C3133" s="5" t="s">
        <v>27</v>
      </c>
      <c r="D3133" s="5" t="s">
        <v>28</v>
      </c>
      <c r="E3133" s="5" t="s">
        <v>199</v>
      </c>
      <c r="F3133" s="9">
        <v>46</v>
      </c>
      <c r="G3133" s="9">
        <v>512</v>
      </c>
      <c r="H3133" s="5" t="s">
        <v>20</v>
      </c>
      <c r="I3133" s="5" t="s">
        <v>7530</v>
      </c>
      <c r="J3133" s="12" t="str">
        <f>HYPERLINK("https://www.boe.es/gazeta/dias/1804/06/08/pdfs/GMD-1804-46.pdf#page=10","Abrir facsímil")</f>
        <v>Abrir facsímil</v>
      </c>
      <c r="K3133" s="15" t="s">
        <v>22</v>
      </c>
    </row>
    <row r="3134" spans="1:11" ht="42" customHeight="1">
      <c r="A3134" s="4" t="s">
        <v>7531</v>
      </c>
      <c r="B3134" s="5" t="s">
        <v>7531</v>
      </c>
      <c r="C3134" s="5" t="s">
        <v>17</v>
      </c>
      <c r="D3134" s="5" t="s">
        <v>18</v>
      </c>
      <c r="E3134" s="5" t="s">
        <v>47</v>
      </c>
      <c r="F3134" s="9">
        <v>78</v>
      </c>
      <c r="G3134" s="9">
        <v>870</v>
      </c>
      <c r="H3134" s="5" t="s">
        <v>20</v>
      </c>
      <c r="I3134" s="5" t="s">
        <v>7532</v>
      </c>
      <c r="J3134" s="12" t="str">
        <f>HYPERLINK("https://www.boe.es/gazeta/dias/1804/09/28/pdfs/GMD-1804-78.pdf#page=8","Abrir facsímil")</f>
        <v>Abrir facsímil</v>
      </c>
      <c r="K3134" s="15" t="s">
        <v>22</v>
      </c>
    </row>
    <row r="3135" spans="1:11" ht="42" customHeight="1">
      <c r="A3135" s="4" t="s">
        <v>7533</v>
      </c>
      <c r="B3135" s="5" t="s">
        <v>7534</v>
      </c>
      <c r="C3135" s="5" t="s">
        <v>85</v>
      </c>
      <c r="D3135" s="5" t="s">
        <v>86</v>
      </c>
      <c r="E3135" s="5" t="s">
        <v>484</v>
      </c>
      <c r="F3135" s="9">
        <v>53</v>
      </c>
      <c r="G3135" s="9">
        <v>594</v>
      </c>
      <c r="H3135" s="5" t="s">
        <v>20</v>
      </c>
      <c r="I3135" s="5" t="s">
        <v>7535</v>
      </c>
      <c r="J3135" s="12" t="str">
        <f>HYPERLINK("https://www.boe.es/gazeta/dias/1804/07/03/pdfs/GMD-1804-53.pdf#page=12","Abrir facsímil")</f>
        <v>Abrir facsímil</v>
      </c>
      <c r="K3135" s="15" t="s">
        <v>22</v>
      </c>
    </row>
    <row r="3136" spans="1:11" ht="42" customHeight="1">
      <c r="A3136" s="4" t="s">
        <v>7536</v>
      </c>
      <c r="B3136" s="5" t="s">
        <v>7536</v>
      </c>
      <c r="C3136" s="5" t="s">
        <v>17</v>
      </c>
      <c r="D3136" s="5" t="s">
        <v>18</v>
      </c>
      <c r="E3136" s="5" t="s">
        <v>1179</v>
      </c>
      <c r="F3136" s="9">
        <v>43</v>
      </c>
      <c r="G3136" s="9">
        <v>480</v>
      </c>
      <c r="H3136" s="5" t="s">
        <v>20</v>
      </c>
      <c r="I3136" s="5" t="s">
        <v>7537</v>
      </c>
      <c r="J3136" s="12" t="str">
        <f>HYPERLINK("https://www.boe.es/gazeta/dias/1804/05/29/pdfs/GMD-1804-43.pdf#page=6","Abrir facsímil")</f>
        <v>Abrir facsímil</v>
      </c>
      <c r="K3136" s="15" t="s">
        <v>22</v>
      </c>
    </row>
    <row r="3137" spans="1:11" ht="42" customHeight="1">
      <c r="A3137" s="4" t="s">
        <v>7538</v>
      </c>
      <c r="B3137" s="5" t="s">
        <v>7538</v>
      </c>
      <c r="C3137" s="5" t="s">
        <v>27</v>
      </c>
      <c r="D3137" s="5" t="s">
        <v>28</v>
      </c>
      <c r="E3137" s="5" t="s">
        <v>308</v>
      </c>
      <c r="F3137" s="9">
        <v>96</v>
      </c>
      <c r="G3137" s="9">
        <v>1068</v>
      </c>
      <c r="H3137" s="5" t="s">
        <v>20</v>
      </c>
      <c r="I3137" s="5" t="s">
        <v>7539</v>
      </c>
      <c r="J3137" s="12" t="str">
        <f>HYPERLINK("https://www.boe.es/gazeta/dias/1804/11/30/pdfs/GMD-1804-96.pdf#page=8","Abrir facsímil")</f>
        <v>Abrir facsímil</v>
      </c>
      <c r="K3137" s="15" t="s">
        <v>22</v>
      </c>
    </row>
    <row r="3138" spans="1:11" ht="42" customHeight="1">
      <c r="A3138" s="4" t="s">
        <v>7540</v>
      </c>
      <c r="B3138" s="5" t="s">
        <v>7540</v>
      </c>
      <c r="C3138" s="5" t="s">
        <v>27</v>
      </c>
      <c r="D3138" s="5" t="s">
        <v>28</v>
      </c>
      <c r="E3138" s="5" t="s">
        <v>466</v>
      </c>
      <c r="F3138" s="9">
        <v>76</v>
      </c>
      <c r="G3138" s="9">
        <v>847</v>
      </c>
      <c r="H3138" s="5" t="s">
        <v>20</v>
      </c>
      <c r="I3138" s="5" t="s">
        <v>7541</v>
      </c>
      <c r="J3138" s="12" t="str">
        <f>HYPERLINK("https://www.boe.es/gazeta/dias/1804/09/21/pdfs/GMD-1804-76.pdf#page=5","Abrir facsímil")</f>
        <v>Abrir facsímil</v>
      </c>
      <c r="K3138" s="15" t="s">
        <v>22</v>
      </c>
    </row>
    <row r="3139" spans="1:11" ht="42" customHeight="1">
      <c r="A3139" s="4" t="s">
        <v>7542</v>
      </c>
      <c r="B3139" s="5" t="s">
        <v>7542</v>
      </c>
      <c r="C3139" s="5" t="s">
        <v>17</v>
      </c>
      <c r="D3139" s="5" t="s">
        <v>18</v>
      </c>
      <c r="E3139" s="5" t="s">
        <v>71</v>
      </c>
      <c r="F3139" s="9">
        <v>99</v>
      </c>
      <c r="G3139" s="9">
        <v>1107</v>
      </c>
      <c r="H3139" s="5" t="s">
        <v>20</v>
      </c>
      <c r="I3139" s="5" t="s">
        <v>7543</v>
      </c>
      <c r="J3139" s="12" t="str">
        <f>HYPERLINK("https://www.boe.es/gazeta/dias/1804/12/11/pdfs/GMD-1804-99.pdf#page=7","Abrir facsímil")</f>
        <v>Abrir facsímil</v>
      </c>
      <c r="K3139" s="15" t="s">
        <v>22</v>
      </c>
    </row>
    <row r="3140" spans="1:11" ht="42" customHeight="1">
      <c r="A3140" s="4" t="s">
        <v>7544</v>
      </c>
      <c r="B3140" s="5" t="s">
        <v>7544</v>
      </c>
      <c r="C3140" s="5" t="s">
        <v>120</v>
      </c>
      <c r="D3140" s="5" t="s">
        <v>121</v>
      </c>
      <c r="E3140" s="5" t="s">
        <v>33</v>
      </c>
      <c r="F3140" s="9">
        <v>48</v>
      </c>
      <c r="G3140" s="9" t="s">
        <v>819</v>
      </c>
      <c r="H3140" s="5" t="s">
        <v>20</v>
      </c>
      <c r="I3140" s="5" t="s">
        <v>7545</v>
      </c>
      <c r="J3140" s="12" t="str">
        <f>HYPERLINK("https://www.boe.es/gazeta/dias/1804/06/15/pdfs/GMD-C-1804-48.pdf#page=4","Abrir facsímil")</f>
        <v>Abrir facsímil</v>
      </c>
      <c r="K3140" s="15" t="s">
        <v>22</v>
      </c>
    </row>
    <row r="3141" spans="1:11" ht="42" customHeight="1">
      <c r="A3141" s="4" t="s">
        <v>7546</v>
      </c>
      <c r="B3141" s="5" t="s">
        <v>7546</v>
      </c>
      <c r="C3141" s="5" t="s">
        <v>17</v>
      </c>
      <c r="D3141" s="5" t="s">
        <v>18</v>
      </c>
      <c r="E3141" s="5" t="s">
        <v>367</v>
      </c>
      <c r="F3141" s="9">
        <v>64</v>
      </c>
      <c r="G3141" s="9">
        <v>713</v>
      </c>
      <c r="H3141" s="5" t="s">
        <v>20</v>
      </c>
      <c r="I3141" s="5" t="s">
        <v>7547</v>
      </c>
      <c r="J3141" s="12" t="str">
        <f>HYPERLINK("https://www.boe.es/gazeta/dias/1804/08/10/pdfs/GMD-1804-64.pdf#page=7","Abrir facsímil")</f>
        <v>Abrir facsímil</v>
      </c>
      <c r="K3141" s="15" t="s">
        <v>22</v>
      </c>
    </row>
    <row r="3142" spans="1:11" ht="42" customHeight="1">
      <c r="A3142" s="4" t="s">
        <v>7548</v>
      </c>
      <c r="B3142" s="5" t="s">
        <v>7548</v>
      </c>
      <c r="C3142" s="5" t="s">
        <v>27</v>
      </c>
      <c r="D3142" s="5" t="s">
        <v>28</v>
      </c>
      <c r="E3142" s="5" t="s">
        <v>666</v>
      </c>
      <c r="F3142" s="9">
        <v>57</v>
      </c>
      <c r="G3142" s="9">
        <v>632</v>
      </c>
      <c r="H3142" s="5" t="s">
        <v>20</v>
      </c>
      <c r="I3142" s="5" t="s">
        <v>7549</v>
      </c>
      <c r="J3142" s="12" t="str">
        <f>HYPERLINK("https://www.boe.es/gazeta/dias/1804/07/17/pdfs/GMD-1804-57.pdf#page=10","Abrir facsímil")</f>
        <v>Abrir facsímil</v>
      </c>
      <c r="K3142" s="15" t="s">
        <v>22</v>
      </c>
    </row>
    <row r="3143" spans="1:11" ht="42" customHeight="1">
      <c r="A3143" s="4" t="s">
        <v>7550</v>
      </c>
      <c r="B3143" s="5" t="s">
        <v>7550</v>
      </c>
      <c r="C3143" s="5" t="s">
        <v>27</v>
      </c>
      <c r="D3143" s="5" t="s">
        <v>28</v>
      </c>
      <c r="E3143" s="5" t="s">
        <v>526</v>
      </c>
      <c r="F3143" s="9">
        <v>95</v>
      </c>
      <c r="G3143" s="9">
        <v>1055</v>
      </c>
      <c r="H3143" s="5" t="s">
        <v>20</v>
      </c>
      <c r="I3143" s="5" t="s">
        <v>7551</v>
      </c>
      <c r="J3143" s="12" t="str">
        <f>HYPERLINK("https://www.boe.es/gazeta/dias/1804/11/27/pdfs/GMD-1804-95.pdf#page=7","Abrir facsímil")</f>
        <v>Abrir facsímil</v>
      </c>
      <c r="K3143" s="15" t="s">
        <v>22</v>
      </c>
    </row>
    <row r="3144" spans="1:11" ht="42" customHeight="1">
      <c r="A3144" s="4" t="s">
        <v>7552</v>
      </c>
      <c r="B3144" s="5" t="s">
        <v>7552</v>
      </c>
      <c r="C3144" s="5" t="s">
        <v>17</v>
      </c>
      <c r="D3144" s="5" t="s">
        <v>18</v>
      </c>
      <c r="E3144" s="5" t="s">
        <v>71</v>
      </c>
      <c r="F3144" s="9">
        <v>99</v>
      </c>
      <c r="G3144" s="9">
        <v>1107</v>
      </c>
      <c r="H3144" s="5" t="s">
        <v>20</v>
      </c>
      <c r="I3144" s="5" t="s">
        <v>7553</v>
      </c>
      <c r="J3144" s="12" t="str">
        <f>HYPERLINK("https://www.boe.es/gazeta/dias/1804/12/11/pdfs/GMD-1804-99.pdf#page=7","Abrir facsímil")</f>
        <v>Abrir facsímil</v>
      </c>
      <c r="K3144" s="15" t="s">
        <v>22</v>
      </c>
    </row>
    <row r="3145" spans="1:11" ht="42" customHeight="1">
      <c r="A3145" s="4" t="s">
        <v>7554</v>
      </c>
      <c r="B3145" s="5" t="s">
        <v>7554</v>
      </c>
      <c r="C3145" s="5" t="s">
        <v>198</v>
      </c>
      <c r="D3145" s="5" t="s">
        <v>66</v>
      </c>
      <c r="E3145" s="5" t="s">
        <v>81</v>
      </c>
      <c r="F3145" s="9">
        <v>98</v>
      </c>
      <c r="G3145" s="9">
        <v>1088</v>
      </c>
      <c r="H3145" s="5" t="s">
        <v>20</v>
      </c>
      <c r="I3145" s="5" t="s">
        <v>7555</v>
      </c>
      <c r="J3145" s="12" t="str">
        <f>HYPERLINK("https://www.boe.es/gazeta/dias/1804/12/07/pdfs/GMD-1804-98.pdf#page=4","Abrir facsímil")</f>
        <v>Abrir facsímil</v>
      </c>
      <c r="K3145" s="15" t="s">
        <v>22</v>
      </c>
    </row>
    <row r="3146" spans="1:11" ht="42" customHeight="1">
      <c r="A3146" s="4" t="s">
        <v>7556</v>
      </c>
      <c r="B3146" s="5" t="s">
        <v>7556</v>
      </c>
      <c r="C3146" s="5" t="s">
        <v>27</v>
      </c>
      <c r="D3146" s="5" t="s">
        <v>28</v>
      </c>
      <c r="E3146" s="5" t="s">
        <v>147</v>
      </c>
      <c r="F3146" s="9">
        <v>77</v>
      </c>
      <c r="G3146" s="9">
        <v>859</v>
      </c>
      <c r="H3146" s="5" t="s">
        <v>20</v>
      </c>
      <c r="I3146" s="5" t="s">
        <v>7557</v>
      </c>
      <c r="J3146" s="12" t="str">
        <f>HYPERLINK("https://www.boe.es/gazeta/dias/1804/09/25/pdfs/GMD-1804-77.pdf#page=9","Abrir facsímil")</f>
        <v>Abrir facsímil</v>
      </c>
      <c r="K3146" s="15" t="s">
        <v>22</v>
      </c>
    </row>
    <row r="3147" spans="1:11" ht="42" customHeight="1">
      <c r="A3147" s="4" t="s">
        <v>7558</v>
      </c>
      <c r="B3147" s="5" t="s">
        <v>7559</v>
      </c>
      <c r="C3147" s="5" t="s">
        <v>27</v>
      </c>
      <c r="D3147" s="5" t="s">
        <v>28</v>
      </c>
      <c r="E3147" s="5" t="s">
        <v>33</v>
      </c>
      <c r="F3147" s="9">
        <v>48</v>
      </c>
      <c r="G3147" s="9">
        <v>537</v>
      </c>
      <c r="H3147" s="5" t="s">
        <v>20</v>
      </c>
      <c r="I3147" s="5" t="s">
        <v>7560</v>
      </c>
      <c r="J3147" s="12" t="str">
        <f>HYPERLINK("https://www.boe.es/gazeta/dias/1804/06/15/pdfs/GMD-1804-48.pdf#page=7","Abrir facsímil")</f>
        <v>Abrir facsímil</v>
      </c>
      <c r="K3147" s="15" t="s">
        <v>22</v>
      </c>
    </row>
    <row r="3148" spans="1:11" ht="42" customHeight="1">
      <c r="A3148" s="4" t="s">
        <v>7561</v>
      </c>
      <c r="B3148" s="5" t="s">
        <v>7561</v>
      </c>
      <c r="C3148" s="5" t="s">
        <v>17</v>
      </c>
      <c r="D3148" s="5" t="s">
        <v>18</v>
      </c>
      <c r="E3148" s="5" t="s">
        <v>111</v>
      </c>
      <c r="F3148" s="9">
        <v>40</v>
      </c>
      <c r="G3148" s="9">
        <v>448</v>
      </c>
      <c r="H3148" s="5" t="s">
        <v>20</v>
      </c>
      <c r="I3148" s="5" t="s">
        <v>7562</v>
      </c>
      <c r="J3148" s="12" t="str">
        <f>HYPERLINK("https://www.boe.es/gazeta/dias/1804/05/18/pdfs/GMD-1804-40.pdf#page=10","Abrir facsímil")</f>
        <v>Abrir facsímil</v>
      </c>
      <c r="K3148" s="15" t="s">
        <v>22</v>
      </c>
    </row>
    <row r="3149" spans="1:11" ht="42" customHeight="1">
      <c r="A3149" s="4" t="s">
        <v>7563</v>
      </c>
      <c r="B3149" s="5" t="s">
        <v>7563</v>
      </c>
      <c r="C3149" s="5" t="s">
        <v>17</v>
      </c>
      <c r="D3149" s="5" t="s">
        <v>18</v>
      </c>
      <c r="E3149" s="5" t="s">
        <v>143</v>
      </c>
      <c r="F3149" s="9">
        <v>87</v>
      </c>
      <c r="G3149" s="9">
        <v>966</v>
      </c>
      <c r="H3149" s="5" t="s">
        <v>20</v>
      </c>
      <c r="I3149" s="5" t="s">
        <v>7564</v>
      </c>
      <c r="J3149" s="12" t="str">
        <f>HYPERLINK("https://www.boe.es/gazeta/dias/1804/10/30/pdfs/GMD-1804-87.pdf#page=10","Abrir facsímil")</f>
        <v>Abrir facsímil</v>
      </c>
      <c r="K3149" s="15" t="s">
        <v>22</v>
      </c>
    </row>
    <row r="3150" spans="1:11" ht="42" customHeight="1">
      <c r="A3150" s="4" t="s">
        <v>7565</v>
      </c>
      <c r="B3150" s="5" t="s">
        <v>7565</v>
      </c>
      <c r="C3150" s="5" t="s">
        <v>65</v>
      </c>
      <c r="D3150" s="5" t="s">
        <v>66</v>
      </c>
      <c r="E3150" s="5" t="s">
        <v>67</v>
      </c>
      <c r="F3150" s="9">
        <v>59</v>
      </c>
      <c r="G3150" s="9">
        <v>653</v>
      </c>
      <c r="H3150" s="5" t="s">
        <v>20</v>
      </c>
      <c r="I3150" s="5" t="s">
        <v>7566</v>
      </c>
      <c r="J3150" s="12" t="str">
        <f>HYPERLINK("https://www.boe.es/gazeta/dias/1804/07/24/pdfs/GMD-1804-59.pdf#page=7","Abrir facsímil")</f>
        <v>Abrir facsímil</v>
      </c>
      <c r="K3150" s="15" t="s">
        <v>22</v>
      </c>
    </row>
    <row r="3151" spans="1:11" ht="42" customHeight="1">
      <c r="A3151" s="4" t="s">
        <v>7567</v>
      </c>
      <c r="B3151" s="5" t="s">
        <v>7567</v>
      </c>
      <c r="C3151" s="5" t="s">
        <v>27</v>
      </c>
      <c r="D3151" s="5" t="s">
        <v>28</v>
      </c>
      <c r="E3151" s="5" t="s">
        <v>75</v>
      </c>
      <c r="F3151" s="9">
        <v>16</v>
      </c>
      <c r="G3151" s="9">
        <v>173</v>
      </c>
      <c r="H3151" s="5" t="s">
        <v>20</v>
      </c>
      <c r="I3151" s="5" t="s">
        <v>7568</v>
      </c>
      <c r="J3151" s="12" t="str">
        <f>HYPERLINK("https://www.boe.es/gazeta/dias/1804/02/24/pdfs/GMD-1804-16.pdf#page=9","Abrir facsímil")</f>
        <v>Abrir facsímil</v>
      </c>
      <c r="K3151" s="15" t="s">
        <v>22</v>
      </c>
    </row>
    <row r="3152" spans="1:11" ht="42" customHeight="1">
      <c r="A3152" s="4" t="s">
        <v>7569</v>
      </c>
      <c r="B3152" s="5" t="s">
        <v>7569</v>
      </c>
      <c r="C3152" s="5" t="s">
        <v>65</v>
      </c>
      <c r="D3152" s="5" t="s">
        <v>66</v>
      </c>
      <c r="E3152" s="5" t="s">
        <v>515</v>
      </c>
      <c r="F3152" s="9">
        <v>102</v>
      </c>
      <c r="G3152" s="9">
        <v>1139</v>
      </c>
      <c r="H3152" s="5" t="s">
        <v>20</v>
      </c>
      <c r="I3152" s="5" t="s">
        <v>7570</v>
      </c>
      <c r="J3152" s="12" t="str">
        <f>HYPERLINK("https://www.boe.es/gazeta/dias/1804/12/21/pdfs/GMD-1804-102.pdf#page=7","Abrir facsímil")</f>
        <v>Abrir facsímil</v>
      </c>
      <c r="K3152" s="15" t="s">
        <v>22</v>
      </c>
    </row>
    <row r="3153" spans="1:11" ht="42" customHeight="1">
      <c r="A3153" s="4" t="s">
        <v>7571</v>
      </c>
      <c r="B3153" s="5" t="s">
        <v>7571</v>
      </c>
      <c r="C3153" s="5" t="s">
        <v>27</v>
      </c>
      <c r="D3153" s="5" t="s">
        <v>28</v>
      </c>
      <c r="E3153" s="5" t="s">
        <v>199</v>
      </c>
      <c r="F3153" s="9">
        <v>46</v>
      </c>
      <c r="G3153" s="9">
        <v>512</v>
      </c>
      <c r="H3153" s="5" t="s">
        <v>20</v>
      </c>
      <c r="I3153" s="5" t="s">
        <v>7572</v>
      </c>
      <c r="J3153" s="12" t="str">
        <f>HYPERLINK("https://www.boe.es/gazeta/dias/1804/06/08/pdfs/GMD-1804-46.pdf#page=10","Abrir facsímil")</f>
        <v>Abrir facsímil</v>
      </c>
      <c r="K3153" s="15" t="s">
        <v>22</v>
      </c>
    </row>
    <row r="3154" spans="1:11" ht="42" customHeight="1">
      <c r="A3154" s="4" t="s">
        <v>7573</v>
      </c>
      <c r="B3154" s="5" t="s">
        <v>7573</v>
      </c>
      <c r="C3154" s="5" t="s">
        <v>27</v>
      </c>
      <c r="D3154" s="5" t="s">
        <v>28</v>
      </c>
      <c r="E3154" s="5" t="s">
        <v>132</v>
      </c>
      <c r="F3154" s="9">
        <v>52</v>
      </c>
      <c r="G3154" s="9">
        <v>573</v>
      </c>
      <c r="H3154" s="5" t="s">
        <v>20</v>
      </c>
      <c r="I3154" s="5" t="s">
        <v>7574</v>
      </c>
      <c r="J3154" s="12" t="str">
        <f>HYPERLINK("https://www.boe.es/gazeta/dias/1804/06/29/pdfs/GMD-1804-52.pdf#page=7","Abrir facsímil")</f>
        <v>Abrir facsímil</v>
      </c>
      <c r="K3154" s="15" t="s">
        <v>22</v>
      </c>
    </row>
    <row r="3155" spans="1:11" ht="42" customHeight="1">
      <c r="A3155" s="4" t="s">
        <v>7575</v>
      </c>
      <c r="B3155" s="5" t="s">
        <v>7575</v>
      </c>
      <c r="C3155" s="5" t="s">
        <v>17</v>
      </c>
      <c r="D3155" s="5" t="s">
        <v>18</v>
      </c>
      <c r="E3155" s="5" t="s">
        <v>71</v>
      </c>
      <c r="F3155" s="9">
        <v>99</v>
      </c>
      <c r="G3155" s="9">
        <v>1106</v>
      </c>
      <c r="H3155" s="5" t="s">
        <v>20</v>
      </c>
      <c r="I3155" s="5" t="s">
        <v>7576</v>
      </c>
      <c r="J3155" s="12" t="str">
        <f>HYPERLINK("https://www.boe.es/gazeta/dias/1804/12/11/pdfs/GMD-1804-99.pdf#page=6","Abrir facsímil")</f>
        <v>Abrir facsímil</v>
      </c>
      <c r="K3155" s="15" t="s">
        <v>22</v>
      </c>
    </row>
    <row r="3156" spans="1:11" ht="42" customHeight="1">
      <c r="A3156" s="4" t="s">
        <v>7577</v>
      </c>
      <c r="B3156" s="5" t="s">
        <v>7577</v>
      </c>
      <c r="C3156" s="5" t="s">
        <v>27</v>
      </c>
      <c r="D3156" s="5" t="s">
        <v>28</v>
      </c>
      <c r="E3156" s="5" t="s">
        <v>61</v>
      </c>
      <c r="F3156" s="9">
        <v>61</v>
      </c>
      <c r="G3156" s="9">
        <v>676</v>
      </c>
      <c r="H3156" s="5" t="s">
        <v>20</v>
      </c>
      <c r="I3156" s="5" t="s">
        <v>7578</v>
      </c>
      <c r="J3156" s="12" t="str">
        <f>HYPERLINK("https://www.boe.es/gazeta/dias/1804/07/31/pdfs/GMD-1804-61.pdf#page=6","Abrir facsímil")</f>
        <v>Abrir facsímil</v>
      </c>
      <c r="K3156" s="15" t="s">
        <v>22</v>
      </c>
    </row>
    <row r="3157" spans="1:11" ht="42" customHeight="1">
      <c r="A3157" s="4" t="s">
        <v>7579</v>
      </c>
      <c r="B3157" s="5" t="s">
        <v>7579</v>
      </c>
      <c r="C3157" s="5" t="s">
        <v>27</v>
      </c>
      <c r="D3157" s="5" t="s">
        <v>28</v>
      </c>
      <c r="E3157" s="5" t="s">
        <v>216</v>
      </c>
      <c r="F3157" s="9">
        <v>67</v>
      </c>
      <c r="G3157" s="9">
        <v>750</v>
      </c>
      <c r="H3157" s="5" t="s">
        <v>20</v>
      </c>
      <c r="I3157" s="5" t="s">
        <v>7580</v>
      </c>
      <c r="J3157" s="12" t="str">
        <f>HYPERLINK("https://www.boe.es/gazeta/dias/1804/08/21/pdfs/GMD-1804-67.pdf#page=8","Abrir facsímil")</f>
        <v>Abrir facsímil</v>
      </c>
      <c r="K3157" s="15" t="s">
        <v>22</v>
      </c>
    </row>
    <row r="3158" spans="1:11" ht="42" customHeight="1">
      <c r="A3158" s="4" t="s">
        <v>7581</v>
      </c>
      <c r="B3158" s="5" t="s">
        <v>7581</v>
      </c>
      <c r="C3158" s="5" t="s">
        <v>120</v>
      </c>
      <c r="D3158" s="5" t="s">
        <v>121</v>
      </c>
      <c r="E3158" s="5" t="s">
        <v>33</v>
      </c>
      <c r="F3158" s="9">
        <v>48</v>
      </c>
      <c r="G3158" s="9" t="s">
        <v>819</v>
      </c>
      <c r="H3158" s="5" t="s">
        <v>20</v>
      </c>
      <c r="I3158" s="5" t="s">
        <v>7582</v>
      </c>
      <c r="J3158" s="12" t="str">
        <f>HYPERLINK("https://www.boe.es/gazeta/dias/1804/06/15/pdfs/GMD-C-1804-48.pdf#page=4","Abrir facsímil")</f>
        <v>Abrir facsímil</v>
      </c>
      <c r="K3158" s="15" t="s">
        <v>22</v>
      </c>
    </row>
    <row r="3159" spans="1:11" ht="42" customHeight="1">
      <c r="A3159" s="4" t="s">
        <v>7583</v>
      </c>
      <c r="B3159" s="5" t="s">
        <v>7583</v>
      </c>
      <c r="C3159" s="5" t="s">
        <v>17</v>
      </c>
      <c r="D3159" s="5" t="s">
        <v>18</v>
      </c>
      <c r="E3159" s="5" t="s">
        <v>71</v>
      </c>
      <c r="F3159" s="9">
        <v>99</v>
      </c>
      <c r="G3159" s="9">
        <v>1106</v>
      </c>
      <c r="H3159" s="5" t="s">
        <v>20</v>
      </c>
      <c r="I3159" s="5" t="s">
        <v>7584</v>
      </c>
      <c r="J3159" s="12" t="str">
        <f>HYPERLINK("https://www.boe.es/gazeta/dias/1804/12/11/pdfs/GMD-1804-99.pdf#page=6","Abrir facsímil")</f>
        <v>Abrir facsímil</v>
      </c>
      <c r="K3159" s="15" t="s">
        <v>22</v>
      </c>
    </row>
    <row r="3160" spans="1:11" ht="42" customHeight="1">
      <c r="A3160" s="4" t="s">
        <v>7585</v>
      </c>
      <c r="B3160" s="5" t="s">
        <v>7585</v>
      </c>
      <c r="C3160" s="5" t="s">
        <v>17</v>
      </c>
      <c r="D3160" s="5" t="s">
        <v>18</v>
      </c>
      <c r="E3160" s="5" t="s">
        <v>360</v>
      </c>
      <c r="F3160" s="9">
        <v>81</v>
      </c>
      <c r="G3160" s="9">
        <v>897</v>
      </c>
      <c r="H3160" s="5" t="s">
        <v>20</v>
      </c>
      <c r="I3160" s="5" t="s">
        <v>7586</v>
      </c>
      <c r="J3160" s="12" t="str">
        <f>HYPERLINK("https://www.boe.es/gazeta/dias/1804/10/09/pdfs/GMD-1804-81.pdf#page=7","Abrir facsímil")</f>
        <v>Abrir facsímil</v>
      </c>
      <c r="K3160" s="15" t="s">
        <v>22</v>
      </c>
    </row>
    <row r="3161" spans="1:11" ht="42" customHeight="1">
      <c r="A3161" s="4" t="s">
        <v>7587</v>
      </c>
      <c r="B3161" s="5" t="s">
        <v>7587</v>
      </c>
      <c r="C3161" s="5" t="s">
        <v>27</v>
      </c>
      <c r="D3161" s="5" t="s">
        <v>28</v>
      </c>
      <c r="E3161" s="5" t="s">
        <v>67</v>
      </c>
      <c r="F3161" s="9">
        <v>59</v>
      </c>
      <c r="G3161" s="9">
        <v>653</v>
      </c>
      <c r="H3161" s="5" t="s">
        <v>20</v>
      </c>
      <c r="I3161" s="5" t="s">
        <v>7588</v>
      </c>
      <c r="J3161" s="12" t="str">
        <f>HYPERLINK("https://www.boe.es/gazeta/dias/1804/07/24/pdfs/GMD-1804-59.pdf#page=7","Abrir facsímil")</f>
        <v>Abrir facsímil</v>
      </c>
      <c r="K3161" s="15" t="s">
        <v>22</v>
      </c>
    </row>
    <row r="3162" spans="1:11" ht="42" customHeight="1">
      <c r="A3162" s="4" t="s">
        <v>7589</v>
      </c>
      <c r="B3162" s="5" t="s">
        <v>7589</v>
      </c>
      <c r="C3162" s="5" t="s">
        <v>65</v>
      </c>
      <c r="D3162" s="5" t="s">
        <v>66</v>
      </c>
      <c r="E3162" s="5" t="s">
        <v>59</v>
      </c>
      <c r="F3162" s="9">
        <v>55</v>
      </c>
      <c r="G3162" s="9">
        <v>613</v>
      </c>
      <c r="H3162" s="5" t="s">
        <v>20</v>
      </c>
      <c r="I3162" s="5" t="s">
        <v>7590</v>
      </c>
      <c r="J3162" s="12" t="str">
        <f>HYPERLINK("https://www.boe.es/gazeta/dias/1804/07/10/pdfs/GMD-1804-55.pdf#page=11","Abrir facsímil")</f>
        <v>Abrir facsímil</v>
      </c>
      <c r="K3162" s="15" t="s">
        <v>22</v>
      </c>
    </row>
    <row r="3163" spans="1:11" ht="42" customHeight="1">
      <c r="A3163" s="4" t="s">
        <v>7591</v>
      </c>
      <c r="B3163" s="5" t="s">
        <v>7591</v>
      </c>
      <c r="C3163" s="5" t="s">
        <v>198</v>
      </c>
      <c r="D3163" s="5" t="s">
        <v>66</v>
      </c>
      <c r="E3163" s="5" t="s">
        <v>245</v>
      </c>
      <c r="F3163" s="9">
        <v>6</v>
      </c>
      <c r="G3163" s="9">
        <v>58</v>
      </c>
      <c r="H3163" s="5" t="s">
        <v>20</v>
      </c>
      <c r="I3163" s="5" t="s">
        <v>7592</v>
      </c>
      <c r="J3163" s="12" t="str">
        <f>HYPERLINK("https://www.boe.es/gazeta/dias/1804/01/20/pdfs/GMD-1804-6.pdf#page=10","Abrir facsímil")</f>
        <v>Abrir facsímil</v>
      </c>
      <c r="K3163" s="15" t="s">
        <v>22</v>
      </c>
    </row>
    <row r="3164" spans="1:11" ht="42" customHeight="1">
      <c r="A3164" s="4" t="s">
        <v>7593</v>
      </c>
      <c r="B3164" s="5" t="s">
        <v>7593</v>
      </c>
      <c r="C3164" s="5" t="s">
        <v>27</v>
      </c>
      <c r="D3164" s="5" t="s">
        <v>28</v>
      </c>
      <c r="E3164" s="5" t="s">
        <v>103</v>
      </c>
      <c r="F3164" s="9">
        <v>11</v>
      </c>
      <c r="G3164" s="9">
        <v>123</v>
      </c>
      <c r="H3164" s="5" t="s">
        <v>20</v>
      </c>
      <c r="I3164" s="5" t="s">
        <v>7594</v>
      </c>
      <c r="J3164" s="12" t="str">
        <f>HYPERLINK("https://www.boe.es/gazeta/dias/1804/02/07/pdfs/GMD-1804-11.pdf#page=11","Abrir facsímil")</f>
        <v>Abrir facsímil</v>
      </c>
      <c r="K3164" s="15" t="s">
        <v>22</v>
      </c>
    </row>
    <row r="3165" spans="1:11" ht="42" customHeight="1">
      <c r="A3165" s="4" t="s">
        <v>7595</v>
      </c>
      <c r="B3165" s="5" t="s">
        <v>7595</v>
      </c>
      <c r="C3165" s="5" t="s">
        <v>65</v>
      </c>
      <c r="D3165" s="5" t="s">
        <v>66</v>
      </c>
      <c r="E3165" s="5" t="s">
        <v>666</v>
      </c>
      <c r="F3165" s="9">
        <v>57</v>
      </c>
      <c r="G3165" s="9">
        <v>632</v>
      </c>
      <c r="H3165" s="5" t="s">
        <v>20</v>
      </c>
      <c r="I3165" s="5" t="s">
        <v>7596</v>
      </c>
      <c r="J3165" s="12" t="str">
        <f>HYPERLINK("https://www.boe.es/gazeta/dias/1804/07/17/pdfs/GMD-1804-57.pdf#page=10","Abrir facsímil")</f>
        <v>Abrir facsímil</v>
      </c>
      <c r="K3165" s="15" t="s">
        <v>22</v>
      </c>
    </row>
    <row r="3166" spans="1:11" ht="42" customHeight="1">
      <c r="A3166" s="4" t="s">
        <v>7597</v>
      </c>
      <c r="B3166" s="5" t="s">
        <v>7597</v>
      </c>
      <c r="C3166" s="5" t="s">
        <v>27</v>
      </c>
      <c r="D3166" s="5" t="s">
        <v>28</v>
      </c>
      <c r="E3166" s="5" t="s">
        <v>736</v>
      </c>
      <c r="F3166" s="9">
        <v>83</v>
      </c>
      <c r="G3166" s="9">
        <v>919</v>
      </c>
      <c r="H3166" s="5" t="s">
        <v>20</v>
      </c>
      <c r="I3166" s="5" t="s">
        <v>7598</v>
      </c>
      <c r="J3166" s="12" t="str">
        <f>HYPERLINK("https://www.boe.es/gazeta/dias/1804/10/16/pdfs/GMD-1804-83.pdf#page=9","Abrir facsímil")</f>
        <v>Abrir facsímil</v>
      </c>
      <c r="K3166" s="15" t="s">
        <v>22</v>
      </c>
    </row>
    <row r="3167" spans="1:11" ht="42" customHeight="1">
      <c r="A3167" s="4" t="s">
        <v>7599</v>
      </c>
      <c r="B3167" s="5" t="s">
        <v>7600</v>
      </c>
      <c r="C3167" s="5" t="s">
        <v>27</v>
      </c>
      <c r="D3167" s="5" t="s">
        <v>28</v>
      </c>
      <c r="E3167" s="5" t="s">
        <v>326</v>
      </c>
      <c r="F3167" s="9">
        <v>69</v>
      </c>
      <c r="G3167" s="9">
        <v>778</v>
      </c>
      <c r="H3167" s="5" t="s">
        <v>20</v>
      </c>
      <c r="I3167" s="5" t="s">
        <v>7601</v>
      </c>
      <c r="J3167" s="12" t="str">
        <f>HYPERLINK("https://www.boe.es/gazeta/dias/1804/08/28/pdfs/GMD-1804-69.pdf#page=12","Abrir facsímil")</f>
        <v>Abrir facsímil</v>
      </c>
      <c r="K3167" s="15" t="s">
        <v>22</v>
      </c>
    </row>
    <row r="3168" spans="1:11" ht="42" customHeight="1">
      <c r="A3168" s="4" t="s">
        <v>7602</v>
      </c>
      <c r="B3168" s="5" t="s">
        <v>7602</v>
      </c>
      <c r="C3168" s="5" t="s">
        <v>17</v>
      </c>
      <c r="D3168" s="5" t="s">
        <v>18</v>
      </c>
      <c r="E3168" s="5" t="s">
        <v>29</v>
      </c>
      <c r="F3168" s="9">
        <v>88</v>
      </c>
      <c r="G3168" s="9">
        <v>978</v>
      </c>
      <c r="H3168" s="5" t="s">
        <v>20</v>
      </c>
      <c r="I3168" s="5" t="s">
        <v>7603</v>
      </c>
      <c r="J3168" s="12" t="str">
        <f>HYPERLINK("https://www.boe.es/gazeta/dias/1804/11/02/pdfs/GMD-1804-88.pdf#page=10","Abrir facsímil")</f>
        <v>Abrir facsímil</v>
      </c>
      <c r="K3168" s="15" t="s">
        <v>22</v>
      </c>
    </row>
    <row r="3169" spans="1:11" ht="42" customHeight="1">
      <c r="A3169" s="4" t="s">
        <v>7602</v>
      </c>
      <c r="B3169" s="5" t="s">
        <v>7602</v>
      </c>
      <c r="C3169" s="5" t="s">
        <v>65</v>
      </c>
      <c r="D3169" s="5" t="s">
        <v>66</v>
      </c>
      <c r="E3169" s="5" t="s">
        <v>950</v>
      </c>
      <c r="F3169" s="9">
        <v>90</v>
      </c>
      <c r="G3169" s="9">
        <v>999</v>
      </c>
      <c r="H3169" s="5" t="s">
        <v>20</v>
      </c>
      <c r="I3169" s="5" t="s">
        <v>7604</v>
      </c>
      <c r="J3169" s="12" t="str">
        <f>HYPERLINK("https://www.boe.es/gazeta/dias/1804/11/09/pdfs/GMD-1804-90.pdf#page=7","Abrir facsímil")</f>
        <v>Abrir facsímil</v>
      </c>
      <c r="K3169" s="15" t="s">
        <v>22</v>
      </c>
    </row>
    <row r="3170" spans="1:11" ht="42" customHeight="1">
      <c r="A3170" s="4" t="s">
        <v>7602</v>
      </c>
      <c r="B3170" s="5" t="s">
        <v>7602</v>
      </c>
      <c r="C3170" s="5" t="s">
        <v>27</v>
      </c>
      <c r="D3170" s="5" t="s">
        <v>28</v>
      </c>
      <c r="E3170" s="5" t="s">
        <v>23</v>
      </c>
      <c r="F3170" s="9">
        <v>91</v>
      </c>
      <c r="G3170" s="9">
        <v>1009</v>
      </c>
      <c r="H3170" s="5" t="s">
        <v>20</v>
      </c>
      <c r="I3170" s="5" t="s">
        <v>7605</v>
      </c>
      <c r="J3170" s="12" t="str">
        <f>HYPERLINK("https://www.boe.es/gazeta/dias/1804/11/13/pdfs/GMD-1804-91.pdf#page=9","Abrir facsímil")</f>
        <v>Abrir facsímil</v>
      </c>
      <c r="K3170" s="15" t="s">
        <v>22</v>
      </c>
    </row>
    <row r="3171" spans="1:11" ht="42" customHeight="1">
      <c r="A3171" s="4" t="s">
        <v>7602</v>
      </c>
      <c r="B3171" s="5" t="s">
        <v>7602</v>
      </c>
      <c r="C3171" s="5" t="s">
        <v>85</v>
      </c>
      <c r="D3171" s="5" t="s">
        <v>86</v>
      </c>
      <c r="E3171" s="5" t="s">
        <v>23</v>
      </c>
      <c r="F3171" s="9">
        <v>91</v>
      </c>
      <c r="G3171" s="9">
        <v>1010</v>
      </c>
      <c r="H3171" s="5" t="s">
        <v>20</v>
      </c>
      <c r="I3171" s="5" t="s">
        <v>7606</v>
      </c>
      <c r="J3171" s="12" t="str">
        <f>HYPERLINK("https://www.boe.es/gazeta/dias/1804/11/13/pdfs/GMD-1804-91.pdf#page=10","Abrir facsímil")</f>
        <v>Abrir facsímil</v>
      </c>
      <c r="K3171" s="15" t="s">
        <v>22</v>
      </c>
    </row>
    <row r="3172" spans="1:11" ht="42" customHeight="1">
      <c r="A3172" s="4" t="s">
        <v>7607</v>
      </c>
      <c r="B3172" s="5" t="s">
        <v>7607</v>
      </c>
      <c r="C3172" s="5" t="s">
        <v>85</v>
      </c>
      <c r="D3172" s="5" t="s">
        <v>86</v>
      </c>
      <c r="E3172" s="5" t="s">
        <v>308</v>
      </c>
      <c r="F3172" s="9">
        <v>96</v>
      </c>
      <c r="G3172" s="9">
        <v>1069</v>
      </c>
      <c r="H3172" s="5" t="s">
        <v>20</v>
      </c>
      <c r="I3172" s="5" t="s">
        <v>7608</v>
      </c>
      <c r="J3172" s="12" t="str">
        <f>HYPERLINK("https://www.boe.es/gazeta/dias/1804/11/30/pdfs/GMD-1804-96.pdf#page=9","Abrir facsímil")</f>
        <v>Abrir facsímil</v>
      </c>
      <c r="K3172" s="15" t="s">
        <v>22</v>
      </c>
    </row>
    <row r="3173" spans="1:11" ht="42" customHeight="1">
      <c r="A3173" s="4" t="s">
        <v>7609</v>
      </c>
      <c r="B3173" s="5" t="s">
        <v>7609</v>
      </c>
      <c r="C3173" s="5" t="s">
        <v>65</v>
      </c>
      <c r="D3173" s="5" t="s">
        <v>66</v>
      </c>
      <c r="E3173" s="5" t="s">
        <v>326</v>
      </c>
      <c r="F3173" s="9">
        <v>69</v>
      </c>
      <c r="G3173" s="9">
        <v>775</v>
      </c>
      <c r="H3173" s="5" t="s">
        <v>20</v>
      </c>
      <c r="I3173" s="5" t="s">
        <v>7610</v>
      </c>
      <c r="J3173" s="12" t="str">
        <f>HYPERLINK("https://www.boe.es/gazeta/dias/1804/08/28/pdfs/GMD-1804-69.pdf#page=9","Abrir facsímil")</f>
        <v>Abrir facsímil</v>
      </c>
      <c r="K3173" s="15" t="s">
        <v>22</v>
      </c>
    </row>
    <row r="3174" spans="1:11" ht="42" customHeight="1">
      <c r="A3174" s="4" t="s">
        <v>7611</v>
      </c>
      <c r="B3174" s="5" t="s">
        <v>7611</v>
      </c>
      <c r="C3174" s="5" t="s">
        <v>17</v>
      </c>
      <c r="D3174" s="5" t="s">
        <v>18</v>
      </c>
      <c r="E3174" s="5" t="s">
        <v>71</v>
      </c>
      <c r="F3174" s="9">
        <v>99</v>
      </c>
      <c r="G3174" s="9">
        <v>1107</v>
      </c>
      <c r="H3174" s="5" t="s">
        <v>20</v>
      </c>
      <c r="I3174" s="5" t="s">
        <v>7612</v>
      </c>
      <c r="J3174" s="12" t="str">
        <f>HYPERLINK("https://www.boe.es/gazeta/dias/1804/12/11/pdfs/GMD-1804-99.pdf#page=7","Abrir facsímil")</f>
        <v>Abrir facsímil</v>
      </c>
      <c r="K3174" s="15" t="s">
        <v>22</v>
      </c>
    </row>
    <row r="3175" spans="1:11" ht="42" customHeight="1">
      <c r="A3175" s="4" t="s">
        <v>7613</v>
      </c>
      <c r="B3175" s="5" t="s">
        <v>7613</v>
      </c>
      <c r="C3175" s="5" t="s">
        <v>17</v>
      </c>
      <c r="D3175" s="5" t="s">
        <v>18</v>
      </c>
      <c r="E3175" s="5" t="s">
        <v>147</v>
      </c>
      <c r="F3175" s="9">
        <v>77</v>
      </c>
      <c r="G3175" s="9">
        <v>859</v>
      </c>
      <c r="H3175" s="5" t="s">
        <v>20</v>
      </c>
      <c r="I3175" s="5" t="s">
        <v>7614</v>
      </c>
      <c r="J3175" s="12" t="str">
        <f>HYPERLINK("https://www.boe.es/gazeta/dias/1804/09/25/pdfs/GMD-1804-77.pdf#page=9","Abrir facsímil")</f>
        <v>Abrir facsímil</v>
      </c>
      <c r="K3175" s="15" t="s">
        <v>22</v>
      </c>
    </row>
    <row r="3176" spans="1:11" ht="42" customHeight="1">
      <c r="A3176" s="4" t="s">
        <v>7615</v>
      </c>
      <c r="B3176" s="5" t="s">
        <v>7615</v>
      </c>
      <c r="C3176" s="5" t="s">
        <v>27</v>
      </c>
      <c r="D3176" s="5" t="s">
        <v>28</v>
      </c>
      <c r="E3176" s="5" t="s">
        <v>212</v>
      </c>
      <c r="F3176" s="9">
        <v>89</v>
      </c>
      <c r="G3176" s="9">
        <v>990</v>
      </c>
      <c r="H3176" s="5" t="s">
        <v>20</v>
      </c>
      <c r="I3176" s="5" t="s">
        <v>7616</v>
      </c>
      <c r="J3176" s="12" t="str">
        <f>HYPERLINK("https://www.boe.es/gazeta/dias/1804/11/06/pdfs/GMD-1804-89.pdf#page=10","Abrir facsímil")</f>
        <v>Abrir facsímil</v>
      </c>
      <c r="K3176" s="15" t="s">
        <v>22</v>
      </c>
    </row>
    <row r="3177" spans="1:11" ht="42" customHeight="1">
      <c r="A3177" s="4" t="s">
        <v>7617</v>
      </c>
      <c r="B3177" s="5" t="s">
        <v>7617</v>
      </c>
      <c r="C3177" s="5" t="s">
        <v>17</v>
      </c>
      <c r="D3177" s="5" t="s">
        <v>18</v>
      </c>
      <c r="E3177" s="5" t="s">
        <v>272</v>
      </c>
      <c r="F3177" s="9">
        <v>30</v>
      </c>
      <c r="G3177" s="9">
        <v>330</v>
      </c>
      <c r="H3177" s="5" t="s">
        <v>20</v>
      </c>
      <c r="I3177" s="5" t="s">
        <v>7618</v>
      </c>
      <c r="J3177" s="12" t="str">
        <f>HYPERLINK("https://www.boe.es/gazeta/dias/1804/04/13/pdfs/GMD-1804-30.pdf#page=8","Abrir facsímil")</f>
        <v>Abrir facsímil</v>
      </c>
      <c r="K3177" s="15" t="s">
        <v>22</v>
      </c>
    </row>
    <row r="3178" spans="1:11" ht="42" customHeight="1">
      <c r="A3178" s="4" t="s">
        <v>7619</v>
      </c>
      <c r="B3178" s="5" t="s">
        <v>7619</v>
      </c>
      <c r="C3178" s="5" t="s">
        <v>17</v>
      </c>
      <c r="D3178" s="5" t="s">
        <v>18</v>
      </c>
      <c r="E3178" s="5" t="s">
        <v>71</v>
      </c>
      <c r="F3178" s="9">
        <v>99</v>
      </c>
      <c r="G3178" s="9">
        <v>1106</v>
      </c>
      <c r="H3178" s="5" t="s">
        <v>20</v>
      </c>
      <c r="I3178" s="5" t="s">
        <v>7620</v>
      </c>
      <c r="J3178" s="12" t="str">
        <f>HYPERLINK("https://www.boe.es/gazeta/dias/1804/12/11/pdfs/GMD-1804-99.pdf#page=6","Abrir facsímil")</f>
        <v>Abrir facsímil</v>
      </c>
      <c r="K3178" s="15" t="s">
        <v>22</v>
      </c>
    </row>
    <row r="3179" spans="1:11" ht="42" customHeight="1">
      <c r="A3179" s="4" t="s">
        <v>7621</v>
      </c>
      <c r="B3179" s="5" t="s">
        <v>7621</v>
      </c>
      <c r="C3179" s="5" t="s">
        <v>65</v>
      </c>
      <c r="D3179" s="5" t="s">
        <v>66</v>
      </c>
      <c r="E3179" s="5" t="s">
        <v>298</v>
      </c>
      <c r="F3179" s="9">
        <v>10</v>
      </c>
      <c r="G3179" s="9">
        <v>109</v>
      </c>
      <c r="H3179" s="5" t="s">
        <v>20</v>
      </c>
      <c r="I3179" s="5" t="s">
        <v>7622</v>
      </c>
      <c r="J3179" s="12" t="str">
        <f>HYPERLINK("https://www.boe.es/gazeta/dias/1804/02/03/pdfs/GMD-1804-10.pdf#page=9","Abrir facsímil")</f>
        <v>Abrir facsímil</v>
      </c>
      <c r="K3179" s="15" t="s">
        <v>22</v>
      </c>
    </row>
    <row r="3180" spans="1:11" ht="42" customHeight="1">
      <c r="A3180" s="4" t="s">
        <v>7623</v>
      </c>
      <c r="B3180" s="5" t="s">
        <v>7623</v>
      </c>
      <c r="C3180" s="5" t="s">
        <v>85</v>
      </c>
      <c r="D3180" s="5" t="s">
        <v>86</v>
      </c>
      <c r="E3180" s="5" t="s">
        <v>140</v>
      </c>
      <c r="F3180" s="9">
        <v>39</v>
      </c>
      <c r="G3180" s="9">
        <v>438</v>
      </c>
      <c r="H3180" s="5" t="s">
        <v>20</v>
      </c>
      <c r="I3180" s="5" t="s">
        <v>7624</v>
      </c>
      <c r="J3180" s="12" t="str">
        <f>HYPERLINK("https://www.boe.es/gazeta/dias/1804/05/15/pdfs/GMD-1804-39.pdf#page=12","Abrir facsímil")</f>
        <v>Abrir facsímil</v>
      </c>
      <c r="K3180" s="15" t="s">
        <v>22</v>
      </c>
    </row>
    <row r="3181" spans="1:11" ht="42" customHeight="1">
      <c r="A3181" s="4" t="s">
        <v>7625</v>
      </c>
      <c r="B3181" s="5" t="s">
        <v>7625</v>
      </c>
      <c r="C3181" s="5" t="s">
        <v>65</v>
      </c>
      <c r="D3181" s="5" t="s">
        <v>66</v>
      </c>
      <c r="E3181" s="5" t="s">
        <v>178</v>
      </c>
      <c r="F3181" s="9">
        <v>20</v>
      </c>
      <c r="G3181" s="9">
        <v>219</v>
      </c>
      <c r="H3181" s="5" t="s">
        <v>20</v>
      </c>
      <c r="I3181" s="5" t="s">
        <v>7626</v>
      </c>
      <c r="J3181" s="12" t="str">
        <f>HYPERLINK("https://www.boe.es/gazeta/dias/1804/03/09/pdfs/GMD-1804-20.pdf#page=7","Abrir facsímil")</f>
        <v>Abrir facsímil</v>
      </c>
      <c r="K3181" s="15" t="s">
        <v>22</v>
      </c>
    </row>
    <row r="3182" spans="1:11" ht="42" customHeight="1">
      <c r="A3182" s="4" t="s">
        <v>7627</v>
      </c>
      <c r="B3182" s="5" t="s">
        <v>7627</v>
      </c>
      <c r="C3182" s="5" t="s">
        <v>85</v>
      </c>
      <c r="D3182" s="5" t="s">
        <v>86</v>
      </c>
      <c r="E3182" s="5" t="s">
        <v>367</v>
      </c>
      <c r="F3182" s="9">
        <v>64</v>
      </c>
      <c r="G3182" s="9">
        <v>716</v>
      </c>
      <c r="H3182" s="5" t="s">
        <v>20</v>
      </c>
      <c r="I3182" s="5" t="s">
        <v>7628</v>
      </c>
      <c r="J3182" s="12" t="str">
        <f>HYPERLINK("https://www.boe.es/gazeta/dias/1804/08/10/pdfs/GMD-1804-64.pdf#page=10","Abrir facsímil")</f>
        <v>Abrir facsímil</v>
      </c>
      <c r="K3182" s="15" t="s">
        <v>22</v>
      </c>
    </row>
    <row r="3183" spans="1:11" ht="42" customHeight="1">
      <c r="A3183" s="4" t="s">
        <v>7629</v>
      </c>
      <c r="B3183" s="5" t="s">
        <v>7629</v>
      </c>
      <c r="C3183" s="5" t="s">
        <v>27</v>
      </c>
      <c r="D3183" s="5" t="s">
        <v>28</v>
      </c>
      <c r="E3183" s="5" t="s">
        <v>81</v>
      </c>
      <c r="F3183" s="9">
        <v>98</v>
      </c>
      <c r="G3183" s="9">
        <v>1089</v>
      </c>
      <c r="H3183" s="5" t="s">
        <v>20</v>
      </c>
      <c r="I3183" s="5" t="s">
        <v>7630</v>
      </c>
      <c r="J3183" s="12" t="str">
        <f>HYPERLINK("https://www.boe.es/gazeta/dias/1804/12/07/pdfs/GMD-1804-98.pdf#page=5","Abrir facsímil")</f>
        <v>Abrir facsímil</v>
      </c>
      <c r="K3183" s="15" t="s">
        <v>22</v>
      </c>
    </row>
    <row r="3184" spans="1:11" ht="42" customHeight="1">
      <c r="A3184" s="4" t="s">
        <v>7631</v>
      </c>
      <c r="B3184" s="5" t="s">
        <v>7631</v>
      </c>
      <c r="C3184" s="5" t="s">
        <v>27</v>
      </c>
      <c r="D3184" s="5" t="s">
        <v>28</v>
      </c>
      <c r="E3184" s="5" t="s">
        <v>1020</v>
      </c>
      <c r="F3184" s="9">
        <v>103</v>
      </c>
      <c r="G3184" s="9">
        <v>1147</v>
      </c>
      <c r="H3184" s="5" t="s">
        <v>20</v>
      </c>
      <c r="I3184" s="5" t="s">
        <v>7632</v>
      </c>
      <c r="J3184" s="12" t="str">
        <f>HYPERLINK("https://www.boe.es/gazeta/dias/1804/12/25/pdfs/GMD-1804-103.pdf#page=7","Abrir facsímil")</f>
        <v>Abrir facsímil</v>
      </c>
      <c r="K3184" s="15" t="s">
        <v>22</v>
      </c>
    </row>
    <row r="3185" spans="1:11" ht="42" customHeight="1">
      <c r="A3185" s="4" t="s">
        <v>7633</v>
      </c>
      <c r="B3185" s="5" t="s">
        <v>7633</v>
      </c>
      <c r="C3185" s="5" t="s">
        <v>17</v>
      </c>
      <c r="D3185" s="5" t="s">
        <v>18</v>
      </c>
      <c r="E3185" s="5" t="s">
        <v>50</v>
      </c>
      <c r="F3185" s="9">
        <v>93</v>
      </c>
      <c r="G3185" s="9">
        <v>1031</v>
      </c>
      <c r="H3185" s="5" t="s">
        <v>20</v>
      </c>
      <c r="I3185" s="5" t="s">
        <v>7634</v>
      </c>
      <c r="J3185" s="12" t="str">
        <f>HYPERLINK("https://www.boe.es/gazeta/dias/1804/11/20/pdfs/GMD-1804-93.pdf#page=7","Abrir facsímil")</f>
        <v>Abrir facsímil</v>
      </c>
      <c r="K3185" s="15" t="s">
        <v>22</v>
      </c>
    </row>
    <row r="3186" spans="1:11" ht="42" customHeight="1">
      <c r="A3186" s="4" t="s">
        <v>7635</v>
      </c>
      <c r="B3186" s="5" t="s">
        <v>7635</v>
      </c>
      <c r="C3186" s="5" t="s">
        <v>17</v>
      </c>
      <c r="D3186" s="5" t="s">
        <v>18</v>
      </c>
      <c r="E3186" s="5" t="s">
        <v>159</v>
      </c>
      <c r="F3186" s="9">
        <v>15</v>
      </c>
      <c r="G3186" s="9">
        <v>163</v>
      </c>
      <c r="H3186" s="5" t="s">
        <v>20</v>
      </c>
      <c r="I3186" s="5" t="s">
        <v>7636</v>
      </c>
      <c r="J3186" s="12" t="str">
        <f>HYPERLINK("https://www.boe.es/gazeta/dias/1804/02/21/pdfs/GMD-1804-15.pdf#page=7","Abrir facsímil")</f>
        <v>Abrir facsímil</v>
      </c>
      <c r="K3186" s="15" t="s">
        <v>22</v>
      </c>
    </row>
    <row r="3187" spans="1:11" ht="42" customHeight="1">
      <c r="A3187" s="4" t="s">
        <v>7637</v>
      </c>
      <c r="B3187" s="5" t="s">
        <v>7637</v>
      </c>
      <c r="C3187" s="5" t="s">
        <v>27</v>
      </c>
      <c r="D3187" s="5" t="s">
        <v>28</v>
      </c>
      <c r="E3187" s="5" t="s">
        <v>199</v>
      </c>
      <c r="F3187" s="9">
        <v>46</v>
      </c>
      <c r="G3187" s="9">
        <v>512</v>
      </c>
      <c r="H3187" s="5" t="s">
        <v>20</v>
      </c>
      <c r="I3187" s="5" t="s">
        <v>7638</v>
      </c>
      <c r="J3187" s="12" t="str">
        <f>HYPERLINK("https://www.boe.es/gazeta/dias/1804/06/08/pdfs/GMD-1804-46.pdf#page=10","Abrir facsímil")</f>
        <v>Abrir facsímil</v>
      </c>
      <c r="K3187" s="15" t="s">
        <v>22</v>
      </c>
    </row>
    <row r="3188" spans="1:11" ht="42" customHeight="1">
      <c r="A3188" s="4" t="s">
        <v>7639</v>
      </c>
      <c r="B3188" s="5" t="s">
        <v>7639</v>
      </c>
      <c r="C3188" s="5" t="s">
        <v>17</v>
      </c>
      <c r="D3188" s="5" t="s">
        <v>18</v>
      </c>
      <c r="E3188" s="5" t="s">
        <v>159</v>
      </c>
      <c r="F3188" s="9">
        <v>15</v>
      </c>
      <c r="G3188" s="9">
        <v>163</v>
      </c>
      <c r="H3188" s="5" t="s">
        <v>20</v>
      </c>
      <c r="I3188" s="5" t="s">
        <v>7640</v>
      </c>
      <c r="J3188" s="12" t="str">
        <f>HYPERLINK("https://www.boe.es/gazeta/dias/1804/02/21/pdfs/GMD-1804-15.pdf#page=7","Abrir facsímil")</f>
        <v>Abrir facsímil</v>
      </c>
      <c r="K3188" s="15" t="s">
        <v>22</v>
      </c>
    </row>
    <row r="3189" spans="1:11" ht="42" customHeight="1">
      <c r="A3189" s="4" t="s">
        <v>7641</v>
      </c>
      <c r="B3189" s="5" t="s">
        <v>7641</v>
      </c>
      <c r="C3189" s="5" t="s">
        <v>27</v>
      </c>
      <c r="D3189" s="5" t="s">
        <v>28</v>
      </c>
      <c r="E3189" s="5" t="s">
        <v>298</v>
      </c>
      <c r="F3189" s="9">
        <v>10</v>
      </c>
      <c r="G3189" s="9">
        <v>109</v>
      </c>
      <c r="H3189" s="5" t="s">
        <v>20</v>
      </c>
      <c r="I3189" s="5" t="s">
        <v>7642</v>
      </c>
      <c r="J3189" s="12" t="str">
        <f>HYPERLINK("https://www.boe.es/gazeta/dias/1804/02/03/pdfs/GMD-1804-10.pdf#page=9","Abrir facsímil")</f>
        <v>Abrir facsímil</v>
      </c>
      <c r="K3189" s="15" t="s">
        <v>22</v>
      </c>
    </row>
    <row r="3190" spans="1:11" ht="42" customHeight="1">
      <c r="A3190" s="4" t="s">
        <v>7643</v>
      </c>
      <c r="B3190" s="5" t="s">
        <v>7643</v>
      </c>
      <c r="C3190" s="5" t="s">
        <v>85</v>
      </c>
      <c r="D3190" s="5" t="s">
        <v>86</v>
      </c>
      <c r="E3190" s="5" t="s">
        <v>136</v>
      </c>
      <c r="F3190" s="9">
        <v>23</v>
      </c>
      <c r="G3190" s="9">
        <v>266</v>
      </c>
      <c r="H3190" s="5" t="s">
        <v>20</v>
      </c>
      <c r="I3190" s="5" t="s">
        <v>7644</v>
      </c>
      <c r="J3190" s="12" t="str">
        <f>HYPERLINK("https://www.boe.es/gazeta/dias/1804/03/20/pdfs/GMD-1804-23.pdf#page=12","Abrir facsímil")</f>
        <v>Abrir facsímil</v>
      </c>
      <c r="K3190" s="15" t="s">
        <v>22</v>
      </c>
    </row>
    <row r="3191" spans="1:11" ht="42" customHeight="1">
      <c r="A3191" s="4" t="s">
        <v>7645</v>
      </c>
      <c r="B3191" s="5" t="s">
        <v>7645</v>
      </c>
      <c r="C3191" s="5" t="s">
        <v>27</v>
      </c>
      <c r="D3191" s="5" t="s">
        <v>28</v>
      </c>
      <c r="E3191" s="5" t="s">
        <v>258</v>
      </c>
      <c r="F3191" s="9">
        <v>14</v>
      </c>
      <c r="G3191" s="9">
        <v>153</v>
      </c>
      <c r="H3191" s="5" t="s">
        <v>20</v>
      </c>
      <c r="I3191" s="5" t="s">
        <v>7646</v>
      </c>
      <c r="J3191" s="12" t="str">
        <f>HYPERLINK("https://www.boe.es/gazeta/dias/1804/02/17/pdfs/GMD-1804-14.pdf#page=9","Abrir facsímil")</f>
        <v>Abrir facsímil</v>
      </c>
      <c r="K3191" s="15" t="s">
        <v>22</v>
      </c>
    </row>
    <row r="3192" spans="1:11" ht="42" customHeight="1">
      <c r="A3192" s="4" t="s">
        <v>7647</v>
      </c>
      <c r="B3192" s="5" t="s">
        <v>7647</v>
      </c>
      <c r="C3192" s="5" t="s">
        <v>17</v>
      </c>
      <c r="D3192" s="5" t="s">
        <v>18</v>
      </c>
      <c r="E3192" s="5" t="s">
        <v>308</v>
      </c>
      <c r="F3192" s="9">
        <v>96</v>
      </c>
      <c r="G3192" s="9">
        <v>1067</v>
      </c>
      <c r="H3192" s="5" t="s">
        <v>20</v>
      </c>
      <c r="I3192" s="5" t="s">
        <v>7648</v>
      </c>
      <c r="J3192" s="12" t="str">
        <f>HYPERLINK("https://www.boe.es/gazeta/dias/1804/11/30/pdfs/GMD-1804-96.pdf#page=7","Abrir facsímil")</f>
        <v>Abrir facsímil</v>
      </c>
      <c r="K3192" s="15" t="s">
        <v>22</v>
      </c>
    </row>
    <row r="3193" spans="1:11" ht="42" customHeight="1">
      <c r="A3193" s="4" t="s">
        <v>7649</v>
      </c>
      <c r="B3193" s="5" t="s">
        <v>7649</v>
      </c>
      <c r="C3193" s="5" t="s">
        <v>27</v>
      </c>
      <c r="D3193" s="5" t="s">
        <v>28</v>
      </c>
      <c r="E3193" s="5" t="s">
        <v>245</v>
      </c>
      <c r="F3193" s="9">
        <v>6</v>
      </c>
      <c r="G3193" s="9">
        <v>58</v>
      </c>
      <c r="H3193" s="5" t="s">
        <v>20</v>
      </c>
      <c r="I3193" s="5" t="s">
        <v>7650</v>
      </c>
      <c r="J3193" s="12" t="str">
        <f>HYPERLINK("https://www.boe.es/gazeta/dias/1804/01/20/pdfs/GMD-1804-6.pdf#page=10","Abrir facsímil")</f>
        <v>Abrir facsímil</v>
      </c>
      <c r="K3193" s="15" t="s">
        <v>22</v>
      </c>
    </row>
    <row r="3194" spans="1:11" ht="42" customHeight="1">
      <c r="A3194" s="4" t="s">
        <v>7651</v>
      </c>
      <c r="B3194" s="5" t="s">
        <v>7651</v>
      </c>
      <c r="C3194" s="5" t="s">
        <v>27</v>
      </c>
      <c r="D3194" s="5" t="s">
        <v>28</v>
      </c>
      <c r="E3194" s="5" t="s">
        <v>782</v>
      </c>
      <c r="F3194" s="9">
        <v>75</v>
      </c>
      <c r="G3194" s="9">
        <v>840</v>
      </c>
      <c r="H3194" s="5" t="s">
        <v>20</v>
      </c>
      <c r="I3194" s="5" t="s">
        <v>7652</v>
      </c>
      <c r="J3194" s="12" t="str">
        <f>HYPERLINK("https://www.boe.es/gazeta/dias/1804/09/18/pdfs/GMD-1804-75.pdf#page=6","Abrir facsímil")</f>
        <v>Abrir facsímil</v>
      </c>
      <c r="K3194" s="15" t="s">
        <v>22</v>
      </c>
    </row>
    <row r="3195" spans="1:11" ht="42" customHeight="1">
      <c r="A3195" s="4" t="s">
        <v>7653</v>
      </c>
      <c r="B3195" s="5" t="s">
        <v>7653</v>
      </c>
      <c r="C3195" s="5" t="s">
        <v>27</v>
      </c>
      <c r="D3195" s="5" t="s">
        <v>28</v>
      </c>
      <c r="E3195" s="5" t="s">
        <v>326</v>
      </c>
      <c r="F3195" s="9">
        <v>69</v>
      </c>
      <c r="G3195" s="9">
        <v>775</v>
      </c>
      <c r="H3195" s="5" t="s">
        <v>20</v>
      </c>
      <c r="I3195" s="5" t="s">
        <v>7654</v>
      </c>
      <c r="J3195" s="12" t="str">
        <f>HYPERLINK("https://www.boe.es/gazeta/dias/1804/08/28/pdfs/GMD-1804-69.pdf#page=9","Abrir facsímil")</f>
        <v>Abrir facsímil</v>
      </c>
      <c r="K3195" s="15" t="s">
        <v>22</v>
      </c>
    </row>
    <row r="3196" spans="1:11" ht="42" customHeight="1">
      <c r="A3196" s="4" t="s">
        <v>7655</v>
      </c>
      <c r="B3196" s="5" t="s">
        <v>7655</v>
      </c>
      <c r="C3196" s="5" t="s">
        <v>120</v>
      </c>
      <c r="D3196" s="5" t="s">
        <v>121</v>
      </c>
      <c r="E3196" s="5" t="s">
        <v>33</v>
      </c>
      <c r="F3196" s="9">
        <v>48</v>
      </c>
      <c r="G3196" s="9" t="s">
        <v>98</v>
      </c>
      <c r="H3196" s="5" t="s">
        <v>20</v>
      </c>
      <c r="I3196" s="5" t="s">
        <v>7656</v>
      </c>
      <c r="J3196" s="12" t="str">
        <f>HYPERLINK("https://www.boe.es/gazeta/dias/1804/06/15/pdfs/GMD-C-1804-48.pdf#page=1","Abrir facsímil")</f>
        <v>Abrir facsímil</v>
      </c>
      <c r="K3196" s="15" t="s">
        <v>22</v>
      </c>
    </row>
    <row r="3197" spans="1:11" ht="42" customHeight="1">
      <c r="A3197" s="4" t="s">
        <v>7657</v>
      </c>
      <c r="B3197" s="5" t="s">
        <v>7657</v>
      </c>
      <c r="C3197" s="5" t="s">
        <v>27</v>
      </c>
      <c r="D3197" s="5" t="s">
        <v>28</v>
      </c>
      <c r="E3197" s="5" t="s">
        <v>479</v>
      </c>
      <c r="F3197" s="9">
        <v>5</v>
      </c>
      <c r="G3197" s="9">
        <v>47</v>
      </c>
      <c r="H3197" s="5" t="s">
        <v>20</v>
      </c>
      <c r="I3197" s="5" t="s">
        <v>7658</v>
      </c>
      <c r="J3197" s="12" t="str">
        <f>HYPERLINK("https://www.boe.es/gazeta/dias/1804/01/17/pdfs/GMD-1804-5.pdf#page=7","Abrir facsímil")</f>
        <v>Abrir facsímil</v>
      </c>
      <c r="K3197" s="15" t="s">
        <v>22</v>
      </c>
    </row>
    <row r="3198" spans="1:11" ht="42" customHeight="1">
      <c r="A3198" s="4" t="s">
        <v>7657</v>
      </c>
      <c r="B3198" s="5" t="s">
        <v>7657</v>
      </c>
      <c r="C3198" s="5" t="s">
        <v>120</v>
      </c>
      <c r="D3198" s="5" t="s">
        <v>121</v>
      </c>
      <c r="E3198" s="5" t="s">
        <v>33</v>
      </c>
      <c r="F3198" s="9">
        <v>48</v>
      </c>
      <c r="G3198" s="9" t="s">
        <v>122</v>
      </c>
      <c r="H3198" s="5" t="s">
        <v>20</v>
      </c>
      <c r="I3198" s="5" t="s">
        <v>7659</v>
      </c>
      <c r="J3198" s="12" t="str">
        <f>HYPERLINK("https://www.boe.es/gazeta/dias/1804/06/15/pdfs/GMD-C-1804-48.pdf#page=3","Abrir facsímil")</f>
        <v>Abrir facsímil</v>
      </c>
      <c r="K3198" s="15" t="s">
        <v>22</v>
      </c>
    </row>
    <row r="3199" spans="1:11" ht="42" customHeight="1">
      <c r="A3199" s="4" t="s">
        <v>7660</v>
      </c>
      <c r="B3199" s="5" t="s">
        <v>7660</v>
      </c>
      <c r="C3199" s="5" t="s">
        <v>120</v>
      </c>
      <c r="D3199" s="5" t="s">
        <v>121</v>
      </c>
      <c r="E3199" s="5" t="s">
        <v>33</v>
      </c>
      <c r="F3199" s="9">
        <v>48</v>
      </c>
      <c r="G3199" s="9" t="s">
        <v>122</v>
      </c>
      <c r="H3199" s="5" t="s">
        <v>20</v>
      </c>
      <c r="I3199" s="5" t="s">
        <v>7661</v>
      </c>
      <c r="J3199" s="12" t="str">
        <f>HYPERLINK("https://www.boe.es/gazeta/dias/1804/06/15/pdfs/GMD-C-1804-48.pdf#page=3","Abrir facsímil")</f>
        <v>Abrir facsímil</v>
      </c>
      <c r="K3199" s="15" t="s">
        <v>22</v>
      </c>
    </row>
    <row r="3200" spans="1:11" ht="42" customHeight="1">
      <c r="A3200" s="4" t="s">
        <v>7662</v>
      </c>
      <c r="B3200" s="5" t="s">
        <v>7662</v>
      </c>
      <c r="C3200" s="5" t="s">
        <v>17</v>
      </c>
      <c r="D3200" s="5" t="s">
        <v>18</v>
      </c>
      <c r="E3200" s="5" t="s">
        <v>191</v>
      </c>
      <c r="F3200" s="9">
        <v>101</v>
      </c>
      <c r="G3200" s="9">
        <v>1129</v>
      </c>
      <c r="H3200" s="5" t="s">
        <v>20</v>
      </c>
      <c r="I3200" s="5" t="s">
        <v>7663</v>
      </c>
      <c r="J3200" s="12" t="str">
        <f>HYPERLINK("https://www.boe.es/gazeta/dias/1804/12/18/pdfs/GMD-1804-101.pdf#page=9","Abrir facsímil")</f>
        <v>Abrir facsímil</v>
      </c>
      <c r="K3200" s="15" t="s">
        <v>22</v>
      </c>
    </row>
    <row r="3201" spans="1:11" ht="42" customHeight="1">
      <c r="A3201" s="4" t="s">
        <v>7664</v>
      </c>
      <c r="B3201" s="5" t="s">
        <v>7664</v>
      </c>
      <c r="C3201" s="5" t="s">
        <v>27</v>
      </c>
      <c r="D3201" s="5" t="s">
        <v>28</v>
      </c>
      <c r="E3201" s="5" t="s">
        <v>1449</v>
      </c>
      <c r="F3201" s="9">
        <v>8</v>
      </c>
      <c r="G3201" s="9">
        <v>86</v>
      </c>
      <c r="H3201" s="5" t="s">
        <v>20</v>
      </c>
      <c r="I3201" s="5" t="s">
        <v>7665</v>
      </c>
      <c r="J3201" s="12" t="str">
        <f>HYPERLINK("https://www.boe.es/gazeta/dias/1804/01/27/pdfs/GMD-1804-8.pdf#page=10","Abrir facsímil")</f>
        <v>Abrir facsímil</v>
      </c>
      <c r="K3201" s="15" t="s">
        <v>22</v>
      </c>
    </row>
    <row r="3202" spans="1:11" ht="42" customHeight="1">
      <c r="A3202" s="4" t="s">
        <v>7666</v>
      </c>
      <c r="B3202" s="5" t="s">
        <v>7666</v>
      </c>
      <c r="C3202" s="5" t="s">
        <v>85</v>
      </c>
      <c r="D3202" s="5" t="s">
        <v>86</v>
      </c>
      <c r="E3202" s="5" t="s">
        <v>206</v>
      </c>
      <c r="F3202" s="9">
        <v>44</v>
      </c>
      <c r="G3202" s="9">
        <v>490</v>
      </c>
      <c r="H3202" s="5" t="s">
        <v>20</v>
      </c>
      <c r="I3202" s="5" t="s">
        <v>7667</v>
      </c>
      <c r="J3202" s="12" t="str">
        <f>HYPERLINK("https://www.boe.es/gazeta/dias/1804/06/01/pdfs/GMD-1804-44.pdf#page=8","Abrir facsímil")</f>
        <v>Abrir facsímil</v>
      </c>
      <c r="K3202" s="15" t="s">
        <v>22</v>
      </c>
    </row>
    <row r="3203" spans="1:11" ht="42" customHeight="1">
      <c r="A3203" s="4" t="s">
        <v>7668</v>
      </c>
      <c r="B3203" s="5" t="s">
        <v>7668</v>
      </c>
      <c r="C3203" s="5" t="s">
        <v>27</v>
      </c>
      <c r="D3203" s="5" t="s">
        <v>28</v>
      </c>
      <c r="E3203" s="5" t="s">
        <v>103</v>
      </c>
      <c r="F3203" s="9">
        <v>11</v>
      </c>
      <c r="G3203" s="9">
        <v>123</v>
      </c>
      <c r="H3203" s="5" t="s">
        <v>20</v>
      </c>
      <c r="I3203" s="5" t="s">
        <v>7669</v>
      </c>
      <c r="J3203" s="12" t="str">
        <f>HYPERLINK("https://www.boe.es/gazeta/dias/1804/02/07/pdfs/GMD-1804-11.pdf#page=11","Abrir facsímil")</f>
        <v>Abrir facsímil</v>
      </c>
      <c r="K3203" s="15" t="s">
        <v>22</v>
      </c>
    </row>
    <row r="3204" spans="1:11" ht="42" customHeight="1">
      <c r="A3204" s="4" t="s">
        <v>7670</v>
      </c>
      <c r="B3204" s="5" t="s">
        <v>7670</v>
      </c>
      <c r="C3204" s="5" t="s">
        <v>27</v>
      </c>
      <c r="D3204" s="5" t="s">
        <v>28</v>
      </c>
      <c r="E3204" s="5" t="s">
        <v>212</v>
      </c>
      <c r="F3204" s="9">
        <v>89</v>
      </c>
      <c r="G3204" s="9">
        <v>990</v>
      </c>
      <c r="H3204" s="5" t="s">
        <v>20</v>
      </c>
      <c r="I3204" s="5" t="s">
        <v>7671</v>
      </c>
      <c r="J3204" s="12" t="str">
        <f>HYPERLINK("https://www.boe.es/gazeta/dias/1804/11/06/pdfs/GMD-1804-89.pdf#page=10","Abrir facsímil")</f>
        <v>Abrir facsímil</v>
      </c>
      <c r="K3204" s="15" t="s">
        <v>22</v>
      </c>
    </row>
    <row r="3205" spans="1:11" ht="42" customHeight="1">
      <c r="A3205" s="4" t="s">
        <v>7672</v>
      </c>
      <c r="B3205" s="5" t="s">
        <v>7672</v>
      </c>
      <c r="C3205" s="5" t="s">
        <v>65</v>
      </c>
      <c r="D3205" s="5" t="s">
        <v>66</v>
      </c>
      <c r="E3205" s="5" t="s">
        <v>526</v>
      </c>
      <c r="F3205" s="9">
        <v>95</v>
      </c>
      <c r="G3205" s="9">
        <v>1056</v>
      </c>
      <c r="H3205" s="5" t="s">
        <v>20</v>
      </c>
      <c r="I3205" s="5" t="s">
        <v>7673</v>
      </c>
      <c r="J3205" s="12" t="str">
        <f>HYPERLINK("https://www.boe.es/gazeta/dias/1804/11/27/pdfs/GMD-1804-95.pdf#page=8","Abrir facsímil")</f>
        <v>Abrir facsímil</v>
      </c>
      <c r="K3205" s="15" t="s">
        <v>22</v>
      </c>
    </row>
    <row r="3206" spans="1:11" ht="42" customHeight="1">
      <c r="A3206" s="4" t="s">
        <v>7674</v>
      </c>
      <c r="B3206" s="5" t="s">
        <v>7674</v>
      </c>
      <c r="C3206" s="5" t="s">
        <v>17</v>
      </c>
      <c r="D3206" s="5" t="s">
        <v>18</v>
      </c>
      <c r="E3206" s="5" t="s">
        <v>637</v>
      </c>
      <c r="F3206" s="9">
        <v>74</v>
      </c>
      <c r="G3206" s="9">
        <v>829</v>
      </c>
      <c r="H3206" s="5" t="s">
        <v>20</v>
      </c>
      <c r="I3206" s="5" t="s">
        <v>7675</v>
      </c>
      <c r="J3206" s="12" t="str">
        <f>HYPERLINK("https://www.boe.es/gazeta/dias/1804/09/14/pdfs/GMD-1804-74.pdf#page=7","Abrir facsímil")</f>
        <v>Abrir facsímil</v>
      </c>
      <c r="K3206" s="15" t="s">
        <v>22</v>
      </c>
    </row>
    <row r="3207" spans="1:11" ht="42" customHeight="1">
      <c r="A3207" s="4" t="s">
        <v>7676</v>
      </c>
      <c r="B3207" s="5" t="s">
        <v>7676</v>
      </c>
      <c r="C3207" s="5" t="s">
        <v>65</v>
      </c>
      <c r="D3207" s="5" t="s">
        <v>66</v>
      </c>
      <c r="E3207" s="5" t="s">
        <v>350</v>
      </c>
      <c r="F3207" s="9">
        <v>19</v>
      </c>
      <c r="G3207" s="9">
        <v>210</v>
      </c>
      <c r="H3207" s="5" t="s">
        <v>20</v>
      </c>
      <c r="I3207" s="5" t="s">
        <v>7677</v>
      </c>
      <c r="J3207" s="12" t="str">
        <f>HYPERLINK("https://www.boe.es/gazeta/dias/1804/03/06/pdfs/GMD-1804-19.pdf#page=10","Abrir facsímil")</f>
        <v>Abrir facsímil</v>
      </c>
      <c r="K3207" s="15" t="s">
        <v>22</v>
      </c>
    </row>
    <row r="3208" spans="1:11" ht="42" customHeight="1">
      <c r="A3208" s="4" t="s">
        <v>7678</v>
      </c>
      <c r="B3208" s="5" t="s">
        <v>7678</v>
      </c>
      <c r="C3208" s="5" t="s">
        <v>27</v>
      </c>
      <c r="D3208" s="5" t="s">
        <v>28</v>
      </c>
      <c r="E3208" s="5" t="s">
        <v>794</v>
      </c>
      <c r="F3208" s="9">
        <v>42</v>
      </c>
      <c r="G3208" s="9">
        <v>473</v>
      </c>
      <c r="H3208" s="5" t="s">
        <v>20</v>
      </c>
      <c r="I3208" s="5" t="s">
        <v>7679</v>
      </c>
      <c r="J3208" s="12" t="str">
        <f>HYPERLINK("https://www.boe.es/gazeta/dias/1804/05/25/pdfs/GMD-1804-42.pdf#page=11","Abrir facsímil")</f>
        <v>Abrir facsímil</v>
      </c>
      <c r="K3208" s="15" t="s">
        <v>22</v>
      </c>
    </row>
    <row r="3209" spans="1:11" ht="42" customHeight="1">
      <c r="A3209" s="4" t="s">
        <v>7680</v>
      </c>
      <c r="B3209" s="5" t="s">
        <v>7680</v>
      </c>
      <c r="C3209" s="5" t="s">
        <v>27</v>
      </c>
      <c r="D3209" s="5" t="s">
        <v>28</v>
      </c>
      <c r="E3209" s="5" t="s">
        <v>29</v>
      </c>
      <c r="F3209" s="9">
        <v>88</v>
      </c>
      <c r="G3209" s="9">
        <v>977</v>
      </c>
      <c r="H3209" s="5" t="s">
        <v>20</v>
      </c>
      <c r="I3209" s="5" t="s">
        <v>7681</v>
      </c>
      <c r="J3209" s="12" t="str">
        <f>HYPERLINK("https://www.boe.es/gazeta/dias/1804/11/02/pdfs/GMD-1804-88.pdf#page=9","Abrir facsímil")</f>
        <v>Abrir facsímil</v>
      </c>
      <c r="K3209" s="15" t="s">
        <v>22</v>
      </c>
    </row>
    <row r="3210" spans="1:11" ht="42" customHeight="1">
      <c r="A3210" s="4" t="s">
        <v>7682</v>
      </c>
      <c r="B3210" s="5" t="s">
        <v>7682</v>
      </c>
      <c r="C3210" s="5" t="s">
        <v>65</v>
      </c>
      <c r="D3210" s="5" t="s">
        <v>66</v>
      </c>
      <c r="E3210" s="5" t="s">
        <v>29</v>
      </c>
      <c r="F3210" s="9">
        <v>88</v>
      </c>
      <c r="G3210" s="9">
        <v>976</v>
      </c>
      <c r="H3210" s="5" t="s">
        <v>20</v>
      </c>
      <c r="I3210" s="5" t="s">
        <v>7683</v>
      </c>
      <c r="J3210" s="12" t="str">
        <f>HYPERLINK("https://www.boe.es/gazeta/dias/1804/11/02/pdfs/GMD-1804-88.pdf#page=8","Abrir facsímil")</f>
        <v>Abrir facsímil</v>
      </c>
      <c r="K3210" s="15" t="s">
        <v>22</v>
      </c>
    </row>
    <row r="3211" spans="1:11" ht="42" customHeight="1">
      <c r="A3211" s="4" t="s">
        <v>7684</v>
      </c>
      <c r="B3211" s="5" t="s">
        <v>7685</v>
      </c>
      <c r="C3211" s="5" t="s">
        <v>17</v>
      </c>
      <c r="D3211" s="5" t="s">
        <v>18</v>
      </c>
      <c r="E3211" s="5" t="s">
        <v>191</v>
      </c>
      <c r="F3211" s="9">
        <v>101</v>
      </c>
      <c r="G3211" s="9">
        <v>1129</v>
      </c>
      <c r="H3211" s="5" t="s">
        <v>20</v>
      </c>
      <c r="I3211" s="5" t="s">
        <v>7686</v>
      </c>
      <c r="J3211" s="12" t="str">
        <f>HYPERLINK("https://www.boe.es/gazeta/dias/1804/12/18/pdfs/GMD-1804-101.pdf#page=9","Abrir facsímil")</f>
        <v>Abrir facsímil</v>
      </c>
      <c r="K3211" s="15" t="s">
        <v>22</v>
      </c>
    </row>
    <row r="3212" spans="1:11" ht="42" customHeight="1">
      <c r="A3212" s="4" t="s">
        <v>7687</v>
      </c>
      <c r="B3212" s="5" t="s">
        <v>7687</v>
      </c>
      <c r="C3212" s="5" t="s">
        <v>85</v>
      </c>
      <c r="D3212" s="5" t="s">
        <v>86</v>
      </c>
      <c r="E3212" s="5" t="s">
        <v>136</v>
      </c>
      <c r="F3212" s="9">
        <v>23</v>
      </c>
      <c r="G3212" s="9">
        <v>266</v>
      </c>
      <c r="H3212" s="5" t="s">
        <v>20</v>
      </c>
      <c r="I3212" s="5" t="s">
        <v>7688</v>
      </c>
      <c r="J3212" s="12" t="str">
        <f>HYPERLINK("https://www.boe.es/gazeta/dias/1804/03/20/pdfs/GMD-1804-23.pdf#page=12","Abrir facsímil")</f>
        <v>Abrir facsímil</v>
      </c>
      <c r="K3212" s="15" t="s">
        <v>22</v>
      </c>
    </row>
    <row r="3213" spans="1:11" ht="42" customHeight="1">
      <c r="A3213" s="4" t="s">
        <v>7687</v>
      </c>
      <c r="B3213" s="5" t="s">
        <v>7687</v>
      </c>
      <c r="C3213" s="5" t="s">
        <v>85</v>
      </c>
      <c r="D3213" s="5" t="s">
        <v>86</v>
      </c>
      <c r="E3213" s="5" t="s">
        <v>241</v>
      </c>
      <c r="F3213" s="9">
        <v>71</v>
      </c>
      <c r="G3213" s="9">
        <v>794</v>
      </c>
      <c r="H3213" s="5" t="s">
        <v>20</v>
      </c>
      <c r="I3213" s="5" t="s">
        <v>7689</v>
      </c>
      <c r="J3213" s="12" t="str">
        <f>HYPERLINK("https://www.boe.es/gazeta/dias/1804/09/04/pdfs/GMD-1804-71.pdf#page=8","Abrir facsímil")</f>
        <v>Abrir facsímil</v>
      </c>
      <c r="K3213" s="15" t="s">
        <v>22</v>
      </c>
    </row>
    <row r="3214" spans="1:11" ht="42" customHeight="1">
      <c r="A3214" s="4" t="s">
        <v>7690</v>
      </c>
      <c r="B3214" s="5" t="s">
        <v>7690</v>
      </c>
      <c r="C3214" s="5" t="s">
        <v>27</v>
      </c>
      <c r="D3214" s="5" t="s">
        <v>28</v>
      </c>
      <c r="E3214" s="5" t="s">
        <v>206</v>
      </c>
      <c r="F3214" s="9">
        <v>44</v>
      </c>
      <c r="G3214" s="9">
        <v>489</v>
      </c>
      <c r="H3214" s="5" t="s">
        <v>20</v>
      </c>
      <c r="I3214" s="5" t="s">
        <v>7691</v>
      </c>
      <c r="J3214" s="12" t="str">
        <f>HYPERLINK("https://www.boe.es/gazeta/dias/1804/06/01/pdfs/GMD-1804-44.pdf#page=7","Abrir facsímil")</f>
        <v>Abrir facsímil</v>
      </c>
      <c r="K3214" s="15" t="s">
        <v>22</v>
      </c>
    </row>
    <row r="3215" spans="1:11" ht="42" customHeight="1">
      <c r="A3215" s="4" t="s">
        <v>7692</v>
      </c>
      <c r="B3215" s="5" t="s">
        <v>7693</v>
      </c>
      <c r="C3215" s="5" t="s">
        <v>85</v>
      </c>
      <c r="D3215" s="5" t="s">
        <v>86</v>
      </c>
      <c r="E3215" s="5" t="s">
        <v>1337</v>
      </c>
      <c r="F3215" s="9">
        <v>7</v>
      </c>
      <c r="G3215" s="9">
        <v>72</v>
      </c>
      <c r="H3215" s="5" t="s">
        <v>20</v>
      </c>
      <c r="I3215" s="5" t="s">
        <v>7694</v>
      </c>
      <c r="J3215" s="12" t="str">
        <f>HYPERLINK("https://www.boe.es/gazeta/dias/1804/01/24/pdfs/GMD-1804-7.pdf#page=12","Abrir facsímil")</f>
        <v>Abrir facsímil</v>
      </c>
      <c r="K3215" s="15" t="s">
        <v>22</v>
      </c>
    </row>
    <row r="3216" spans="1:11" ht="42" customHeight="1">
      <c r="A3216" s="4" t="s">
        <v>7695</v>
      </c>
      <c r="B3216" s="5" t="s">
        <v>7695</v>
      </c>
      <c r="C3216" s="5" t="s">
        <v>120</v>
      </c>
      <c r="D3216" s="5" t="s">
        <v>121</v>
      </c>
      <c r="E3216" s="5" t="s">
        <v>33</v>
      </c>
      <c r="F3216" s="9">
        <v>48</v>
      </c>
      <c r="G3216" s="9" t="s">
        <v>98</v>
      </c>
      <c r="H3216" s="5" t="s">
        <v>20</v>
      </c>
      <c r="I3216" s="5" t="s">
        <v>7696</v>
      </c>
      <c r="J3216" s="12" t="str">
        <f>HYPERLINK("https://www.boe.es/gazeta/dias/1804/06/15/pdfs/GMD-C-1804-48.pdf#page=1","Abrir facsímil")</f>
        <v>Abrir facsímil</v>
      </c>
      <c r="K3216" s="15" t="s">
        <v>22</v>
      </c>
    </row>
    <row r="3217" spans="1:11" ht="42" customHeight="1">
      <c r="A3217" s="4" t="s">
        <v>7697</v>
      </c>
      <c r="B3217" s="5" t="s">
        <v>7697</v>
      </c>
      <c r="C3217" s="5" t="s">
        <v>27</v>
      </c>
      <c r="D3217" s="5" t="s">
        <v>28</v>
      </c>
      <c r="E3217" s="5" t="s">
        <v>326</v>
      </c>
      <c r="F3217" s="9">
        <v>69</v>
      </c>
      <c r="G3217" s="9">
        <v>775</v>
      </c>
      <c r="H3217" s="5" t="s">
        <v>20</v>
      </c>
      <c r="I3217" s="5" t="s">
        <v>7698</v>
      </c>
      <c r="J3217" s="12" t="str">
        <f>HYPERLINK("https://www.boe.es/gazeta/dias/1804/08/28/pdfs/GMD-1804-69.pdf#page=9","Abrir facsímil")</f>
        <v>Abrir facsímil</v>
      </c>
      <c r="K3217" s="15" t="s">
        <v>22</v>
      </c>
    </row>
    <row r="3218" spans="1:11" ht="42" customHeight="1">
      <c r="A3218" s="4" t="s">
        <v>7699</v>
      </c>
      <c r="B3218" s="5" t="s">
        <v>7699</v>
      </c>
      <c r="C3218" s="5" t="s">
        <v>65</v>
      </c>
      <c r="D3218" s="5" t="s">
        <v>66</v>
      </c>
      <c r="E3218" s="5" t="s">
        <v>106</v>
      </c>
      <c r="F3218" s="9">
        <v>34</v>
      </c>
      <c r="G3218" s="9">
        <v>376</v>
      </c>
      <c r="H3218" s="5" t="s">
        <v>20</v>
      </c>
      <c r="I3218" s="5" t="s">
        <v>7700</v>
      </c>
      <c r="J3218" s="12" t="str">
        <f>HYPERLINK("https://www.boe.es/gazeta/dias/1804/04/27/pdfs/GMD-1804-34.pdf#page=6","Abrir facsímil")</f>
        <v>Abrir facsímil</v>
      </c>
      <c r="K3218" s="15" t="s">
        <v>22</v>
      </c>
    </row>
    <row r="3219" spans="1:11" ht="42" customHeight="1">
      <c r="A3219" s="4" t="s">
        <v>7701</v>
      </c>
      <c r="B3219" s="5" t="s">
        <v>7701</v>
      </c>
      <c r="C3219" s="5" t="s">
        <v>85</v>
      </c>
      <c r="D3219" s="5" t="s">
        <v>86</v>
      </c>
      <c r="E3219" s="5" t="s">
        <v>106</v>
      </c>
      <c r="F3219" s="9">
        <v>34</v>
      </c>
      <c r="G3219" s="9">
        <v>377</v>
      </c>
      <c r="H3219" s="5" t="s">
        <v>20</v>
      </c>
      <c r="I3219" s="5" t="s">
        <v>7702</v>
      </c>
      <c r="J3219" s="12" t="str">
        <f>HYPERLINK("https://www.boe.es/gazeta/dias/1804/04/27/pdfs/GMD-1804-34.pdf#page=7","Abrir facsímil")</f>
        <v>Abrir facsímil</v>
      </c>
      <c r="K3219" s="15" t="s">
        <v>22</v>
      </c>
    </row>
    <row r="3220" spans="1:11" ht="42" customHeight="1">
      <c r="A3220" s="4" t="s">
        <v>7703</v>
      </c>
      <c r="B3220" s="5" t="s">
        <v>7703</v>
      </c>
      <c r="C3220" s="5" t="s">
        <v>27</v>
      </c>
      <c r="D3220" s="5" t="s">
        <v>28</v>
      </c>
      <c r="E3220" s="5" t="s">
        <v>33</v>
      </c>
      <c r="F3220" s="9">
        <v>48</v>
      </c>
      <c r="G3220" s="9">
        <v>537</v>
      </c>
      <c r="H3220" s="5" t="s">
        <v>20</v>
      </c>
      <c r="I3220" s="5" t="s">
        <v>7704</v>
      </c>
      <c r="J3220" s="12" t="str">
        <f>HYPERLINK("https://www.boe.es/gazeta/dias/1804/06/15/pdfs/GMD-1804-48.pdf#page=7","Abrir facsímil")</f>
        <v>Abrir facsímil</v>
      </c>
      <c r="K3220" s="15" t="s">
        <v>22</v>
      </c>
    </row>
    <row r="3221" spans="1:11" ht="42" customHeight="1">
      <c r="A3221" s="4" t="s">
        <v>7705</v>
      </c>
      <c r="B3221" s="5" t="s">
        <v>7705</v>
      </c>
      <c r="C3221" s="5" t="s">
        <v>17</v>
      </c>
      <c r="D3221" s="5" t="s">
        <v>18</v>
      </c>
      <c r="E3221" s="5" t="s">
        <v>54</v>
      </c>
      <c r="F3221" s="9">
        <v>63</v>
      </c>
      <c r="G3221" s="9">
        <v>699</v>
      </c>
      <c r="H3221" s="5" t="s">
        <v>20</v>
      </c>
      <c r="I3221" s="5" t="s">
        <v>7706</v>
      </c>
      <c r="J3221" s="12" t="str">
        <f>HYPERLINK("https://www.boe.es/gazeta/dias/1804/08/07/pdfs/GMD-1804-63.pdf#page=9","Abrir facsímil")</f>
        <v>Abrir facsímil</v>
      </c>
      <c r="K3221" s="15" t="s">
        <v>22</v>
      </c>
    </row>
    <row r="3222" spans="1:11" ht="42" customHeight="1">
      <c r="A3222" s="4" t="s">
        <v>7707</v>
      </c>
      <c r="B3222" s="5" t="s">
        <v>7707</v>
      </c>
      <c r="C3222" s="5" t="s">
        <v>27</v>
      </c>
      <c r="D3222" s="5" t="s">
        <v>28</v>
      </c>
      <c r="E3222" s="5" t="s">
        <v>199</v>
      </c>
      <c r="F3222" s="9">
        <v>46</v>
      </c>
      <c r="G3222" s="9">
        <v>512</v>
      </c>
      <c r="H3222" s="5" t="s">
        <v>20</v>
      </c>
      <c r="I3222" s="5" t="s">
        <v>7708</v>
      </c>
      <c r="J3222" s="12" t="str">
        <f>HYPERLINK("https://www.boe.es/gazeta/dias/1804/06/08/pdfs/GMD-1804-46.pdf#page=10","Abrir facsímil")</f>
        <v>Abrir facsímil</v>
      </c>
      <c r="K3222" s="15" t="s">
        <v>22</v>
      </c>
    </row>
    <row r="3223" spans="1:11" ht="42" customHeight="1">
      <c r="A3223" s="4" t="s">
        <v>7709</v>
      </c>
      <c r="B3223" s="5" t="s">
        <v>7709</v>
      </c>
      <c r="C3223" s="5" t="s">
        <v>27</v>
      </c>
      <c r="D3223" s="5" t="s">
        <v>28</v>
      </c>
      <c r="E3223" s="5" t="s">
        <v>77</v>
      </c>
      <c r="F3223" s="9">
        <v>32</v>
      </c>
      <c r="G3223" s="9">
        <v>356</v>
      </c>
      <c r="H3223" s="5" t="s">
        <v>20</v>
      </c>
      <c r="I3223" s="5" t="s">
        <v>7710</v>
      </c>
      <c r="J3223" s="12" t="str">
        <f>HYPERLINK("https://www.boe.es/gazeta/dias/1804/04/20/pdfs/GMD-1804-32.pdf#page=10","Abrir facsímil")</f>
        <v>Abrir facsímil</v>
      </c>
      <c r="K3223" s="15" t="s">
        <v>22</v>
      </c>
    </row>
    <row r="3224" spans="1:11" ht="42" customHeight="1">
      <c r="A3224" s="4" t="s">
        <v>7711</v>
      </c>
      <c r="B3224" s="5" t="s">
        <v>7711</v>
      </c>
      <c r="C3224" s="5" t="s">
        <v>27</v>
      </c>
      <c r="D3224" s="5" t="s">
        <v>28</v>
      </c>
      <c r="E3224" s="5" t="s">
        <v>264</v>
      </c>
      <c r="F3224" s="9">
        <v>49</v>
      </c>
      <c r="G3224" s="9">
        <v>544</v>
      </c>
      <c r="H3224" s="5" t="s">
        <v>20</v>
      </c>
      <c r="I3224" s="5" t="s">
        <v>7712</v>
      </c>
      <c r="J3224" s="12" t="str">
        <f>HYPERLINK("https://www.boe.es/gazeta/dias/1804/06/19/pdfs/GMD-1804-49.pdf#page=6","Abrir facsímil")</f>
        <v>Abrir facsímil</v>
      </c>
      <c r="K3224" s="15" t="s">
        <v>22</v>
      </c>
    </row>
    <row r="3225" spans="1:11" ht="42" customHeight="1">
      <c r="A3225" s="4" t="s">
        <v>7713</v>
      </c>
      <c r="B3225" s="5" t="s">
        <v>7713</v>
      </c>
      <c r="C3225" s="5" t="s">
        <v>27</v>
      </c>
      <c r="D3225" s="5" t="s">
        <v>28</v>
      </c>
      <c r="E3225" s="5" t="s">
        <v>666</v>
      </c>
      <c r="F3225" s="9">
        <v>57</v>
      </c>
      <c r="G3225" s="9">
        <v>632</v>
      </c>
      <c r="H3225" s="5" t="s">
        <v>20</v>
      </c>
      <c r="I3225" s="5" t="s">
        <v>7714</v>
      </c>
      <c r="J3225" s="12" t="str">
        <f>HYPERLINK("https://www.boe.es/gazeta/dias/1804/07/17/pdfs/GMD-1804-57.pdf#page=10","Abrir facsímil")</f>
        <v>Abrir facsímil</v>
      </c>
      <c r="K3225" s="15" t="s">
        <v>22</v>
      </c>
    </row>
    <row r="3226" spans="1:11" ht="42" customHeight="1">
      <c r="A3226" s="4" t="s">
        <v>7715</v>
      </c>
      <c r="B3226" s="5" t="s">
        <v>7715</v>
      </c>
      <c r="C3226" s="5" t="s">
        <v>27</v>
      </c>
      <c r="D3226" s="5" t="s">
        <v>28</v>
      </c>
      <c r="E3226" s="5" t="s">
        <v>666</v>
      </c>
      <c r="F3226" s="9">
        <v>57</v>
      </c>
      <c r="G3226" s="9">
        <v>633</v>
      </c>
      <c r="H3226" s="5" t="s">
        <v>20</v>
      </c>
      <c r="I3226" s="5" t="s">
        <v>7716</v>
      </c>
      <c r="J3226" s="12" t="str">
        <f>HYPERLINK("https://www.boe.es/gazeta/dias/1804/07/17/pdfs/GMD-1804-57.pdf#page=11","Abrir facsímil")</f>
        <v>Abrir facsímil</v>
      </c>
      <c r="K3226" s="15" t="s">
        <v>22</v>
      </c>
    </row>
    <row r="3227" spans="1:11" ht="42" customHeight="1">
      <c r="A3227" s="4" t="s">
        <v>7717</v>
      </c>
      <c r="B3227" s="5" t="s">
        <v>7717</v>
      </c>
      <c r="C3227" s="5" t="s">
        <v>198</v>
      </c>
      <c r="D3227" s="5" t="s">
        <v>66</v>
      </c>
      <c r="E3227" s="5" t="s">
        <v>453</v>
      </c>
      <c r="F3227" s="9">
        <v>33</v>
      </c>
      <c r="G3227" s="9">
        <v>369</v>
      </c>
      <c r="H3227" s="5" t="s">
        <v>20</v>
      </c>
      <c r="I3227" s="5" t="s">
        <v>7718</v>
      </c>
      <c r="J3227" s="12" t="str">
        <f>HYPERLINK("https://www.boe.es/gazeta/dias/1804/04/24/pdfs/GMD-1804-33.pdf#page=11","Abrir facsímil")</f>
        <v>Abrir facsímil</v>
      </c>
      <c r="K3227" s="15" t="s">
        <v>22</v>
      </c>
    </row>
    <row r="3228" spans="1:11" ht="42" customHeight="1">
      <c r="A3228" s="4" t="s">
        <v>7719</v>
      </c>
      <c r="B3228" s="5" t="s">
        <v>7719</v>
      </c>
      <c r="C3228" s="5" t="s">
        <v>27</v>
      </c>
      <c r="D3228" s="5" t="s">
        <v>28</v>
      </c>
      <c r="E3228" s="5" t="s">
        <v>178</v>
      </c>
      <c r="F3228" s="9">
        <v>20</v>
      </c>
      <c r="G3228" s="9">
        <v>220</v>
      </c>
      <c r="H3228" s="5" t="s">
        <v>20</v>
      </c>
      <c r="I3228" s="5" t="s">
        <v>7720</v>
      </c>
      <c r="J3228" s="12" t="str">
        <f>HYPERLINK("https://www.boe.es/gazeta/dias/1804/03/09/pdfs/GMD-1804-20.pdf#page=8","Abrir facsímil")</f>
        <v>Abrir facsímil</v>
      </c>
      <c r="K3228" s="15" t="s">
        <v>22</v>
      </c>
    </row>
    <row r="3229" spans="1:11" ht="42" customHeight="1">
      <c r="A3229" s="4" t="s">
        <v>7721</v>
      </c>
      <c r="B3229" s="5" t="s">
        <v>7721</v>
      </c>
      <c r="C3229" s="5" t="s">
        <v>85</v>
      </c>
      <c r="D3229" s="5" t="s">
        <v>86</v>
      </c>
      <c r="E3229" s="5" t="s">
        <v>709</v>
      </c>
      <c r="F3229" s="9">
        <v>82</v>
      </c>
      <c r="G3229" s="9">
        <v>909</v>
      </c>
      <c r="H3229" s="5" t="s">
        <v>20</v>
      </c>
      <c r="I3229" s="5" t="s">
        <v>7722</v>
      </c>
      <c r="J3229" s="12" t="str">
        <f>HYPERLINK("https://www.boe.es/gazeta/dias/1804/10/12/pdfs/GMD-1804-82.pdf#page=11","Abrir facsímil")</f>
        <v>Abrir facsímil</v>
      </c>
      <c r="K3229" s="15" t="s">
        <v>22</v>
      </c>
    </row>
    <row r="3230" spans="1:11" ht="42" customHeight="1">
      <c r="A3230" s="4" t="s">
        <v>7723</v>
      </c>
      <c r="B3230" s="5" t="s">
        <v>7723</v>
      </c>
      <c r="C3230" s="5" t="s">
        <v>85</v>
      </c>
      <c r="D3230" s="5" t="s">
        <v>86</v>
      </c>
      <c r="E3230" s="5" t="s">
        <v>258</v>
      </c>
      <c r="F3230" s="9">
        <v>14</v>
      </c>
      <c r="G3230" s="9">
        <v>156</v>
      </c>
      <c r="H3230" s="5" t="s">
        <v>20</v>
      </c>
      <c r="I3230" s="5" t="s">
        <v>7724</v>
      </c>
      <c r="J3230" s="12" t="str">
        <f>HYPERLINK("https://www.boe.es/gazeta/dias/1804/02/17/pdfs/GMD-1804-14.pdf#page=12","Abrir facsímil")</f>
        <v>Abrir facsímil</v>
      </c>
      <c r="K3230" s="15" t="s">
        <v>22</v>
      </c>
    </row>
    <row r="3231" spans="1:11" ht="42" customHeight="1">
      <c r="A3231" s="4" t="s">
        <v>7725</v>
      </c>
      <c r="B3231" s="5" t="s">
        <v>7725</v>
      </c>
      <c r="C3231" s="5" t="s">
        <v>17</v>
      </c>
      <c r="D3231" s="5" t="s">
        <v>18</v>
      </c>
      <c r="E3231" s="5" t="s">
        <v>77</v>
      </c>
      <c r="F3231" s="9">
        <v>32</v>
      </c>
      <c r="G3231" s="9">
        <v>356</v>
      </c>
      <c r="H3231" s="5" t="s">
        <v>20</v>
      </c>
      <c r="I3231" s="5" t="s">
        <v>7726</v>
      </c>
      <c r="J3231" s="12" t="str">
        <f>HYPERLINK("https://www.boe.es/gazeta/dias/1804/04/20/pdfs/GMD-1804-32.pdf#page=10","Abrir facsímil")</f>
        <v>Abrir facsímil</v>
      </c>
      <c r="K3231" s="15" t="s">
        <v>22</v>
      </c>
    </row>
    <row r="3232" spans="1:11" ht="42" customHeight="1">
      <c r="A3232" s="4" t="s">
        <v>7727</v>
      </c>
      <c r="B3232" s="5" t="s">
        <v>7727</v>
      </c>
      <c r="C3232" s="5" t="s">
        <v>198</v>
      </c>
      <c r="D3232" s="5" t="s">
        <v>66</v>
      </c>
      <c r="E3232" s="5" t="s">
        <v>59</v>
      </c>
      <c r="F3232" s="9">
        <v>55</v>
      </c>
      <c r="G3232" s="9">
        <v>613</v>
      </c>
      <c r="H3232" s="5" t="s">
        <v>20</v>
      </c>
      <c r="I3232" s="5" t="s">
        <v>7728</v>
      </c>
      <c r="J3232" s="12" t="str">
        <f>HYPERLINK("https://www.boe.es/gazeta/dias/1804/07/10/pdfs/GMD-1804-55.pdf#page=11","Abrir facsímil")</f>
        <v>Abrir facsímil</v>
      </c>
      <c r="K3232" s="15" t="s">
        <v>22</v>
      </c>
    </row>
    <row r="3233" spans="1:11" ht="42" customHeight="1">
      <c r="A3233" s="4" t="s">
        <v>7729</v>
      </c>
      <c r="B3233" s="5" t="s">
        <v>7729</v>
      </c>
      <c r="C3233" s="5" t="s">
        <v>27</v>
      </c>
      <c r="D3233" s="5" t="s">
        <v>28</v>
      </c>
      <c r="E3233" s="5" t="s">
        <v>111</v>
      </c>
      <c r="F3233" s="9">
        <v>40</v>
      </c>
      <c r="G3233" s="9">
        <v>447</v>
      </c>
      <c r="H3233" s="5" t="s">
        <v>20</v>
      </c>
      <c r="I3233" s="5" t="s">
        <v>7730</v>
      </c>
      <c r="J3233" s="12" t="str">
        <f>HYPERLINK("https://www.boe.es/gazeta/dias/1804/05/18/pdfs/GMD-1804-40.pdf#page=9","Abrir facsímil")</f>
        <v>Abrir facsímil</v>
      </c>
      <c r="K3233" s="15" t="s">
        <v>22</v>
      </c>
    </row>
    <row r="3234" spans="1:11" ht="42" customHeight="1">
      <c r="A3234" s="4" t="s">
        <v>7731</v>
      </c>
      <c r="B3234" s="5" t="s">
        <v>7731</v>
      </c>
      <c r="C3234" s="5" t="s">
        <v>27</v>
      </c>
      <c r="D3234" s="5" t="s">
        <v>28</v>
      </c>
      <c r="E3234" s="5" t="s">
        <v>526</v>
      </c>
      <c r="F3234" s="9">
        <v>95</v>
      </c>
      <c r="G3234" s="9">
        <v>1056</v>
      </c>
      <c r="H3234" s="5" t="s">
        <v>20</v>
      </c>
      <c r="I3234" s="5" t="s">
        <v>7732</v>
      </c>
      <c r="J3234" s="12" t="str">
        <f>HYPERLINK("https://www.boe.es/gazeta/dias/1804/11/27/pdfs/GMD-1804-95.pdf#page=8","Abrir facsímil")</f>
        <v>Abrir facsímil</v>
      </c>
      <c r="K3234" s="15" t="s">
        <v>22</v>
      </c>
    </row>
    <row r="3235" spans="1:11" ht="42" customHeight="1">
      <c r="A3235" s="4" t="s">
        <v>7733</v>
      </c>
      <c r="B3235" s="5" t="s">
        <v>7733</v>
      </c>
      <c r="C3235" s="5" t="s">
        <v>17</v>
      </c>
      <c r="D3235" s="5" t="s">
        <v>18</v>
      </c>
      <c r="E3235" s="5" t="s">
        <v>421</v>
      </c>
      <c r="F3235" s="9">
        <v>47</v>
      </c>
      <c r="G3235" s="9">
        <v>528</v>
      </c>
      <c r="H3235" s="5" t="s">
        <v>20</v>
      </c>
      <c r="I3235" s="5" t="s">
        <v>7734</v>
      </c>
      <c r="J3235" s="12" t="str">
        <f>HYPERLINK("https://www.boe.es/gazeta/dias/1804/06/12/pdfs/GMD-1804-47.pdf#page=10","Abrir facsímil")</f>
        <v>Abrir facsímil</v>
      </c>
      <c r="K3235" s="15" t="s">
        <v>22</v>
      </c>
    </row>
    <row r="3236" spans="1:11" ht="42" customHeight="1">
      <c r="A3236" s="4" t="s">
        <v>7735</v>
      </c>
      <c r="B3236" s="5" t="s">
        <v>7736</v>
      </c>
      <c r="C3236" s="5" t="s">
        <v>57</v>
      </c>
      <c r="D3236" s="5" t="s">
        <v>58</v>
      </c>
      <c r="E3236" s="5" t="s">
        <v>326</v>
      </c>
      <c r="F3236" s="9">
        <v>69</v>
      </c>
      <c r="G3236" s="9">
        <v>772</v>
      </c>
      <c r="H3236" s="5" t="s">
        <v>20</v>
      </c>
      <c r="I3236" s="5" t="s">
        <v>7737</v>
      </c>
      <c r="J3236" s="12" t="str">
        <f>HYPERLINK("https://www.boe.es/gazeta/dias/1804/08/28/pdfs/GMD-1804-69.pdf#page=6","Abrir facsímil")</f>
        <v>Abrir facsímil</v>
      </c>
      <c r="K3236" s="15" t="s">
        <v>22</v>
      </c>
    </row>
    <row r="3237" spans="1:11" ht="42" customHeight="1">
      <c r="A3237" s="4" t="s">
        <v>7735</v>
      </c>
      <c r="B3237" s="5" t="s">
        <v>7736</v>
      </c>
      <c r="C3237" s="5" t="s">
        <v>27</v>
      </c>
      <c r="D3237" s="5" t="s">
        <v>28</v>
      </c>
      <c r="E3237" s="5" t="s">
        <v>360</v>
      </c>
      <c r="F3237" s="9">
        <v>81</v>
      </c>
      <c r="G3237" s="9">
        <v>896</v>
      </c>
      <c r="H3237" s="5" t="s">
        <v>20</v>
      </c>
      <c r="I3237" s="5" t="s">
        <v>7738</v>
      </c>
      <c r="J3237" s="12" t="str">
        <f>HYPERLINK("https://www.boe.es/gazeta/dias/1804/10/09/pdfs/GMD-1804-81.pdf#page=6","Abrir facsímil")</f>
        <v>Abrir facsímil</v>
      </c>
      <c r="K3237" s="15" t="s">
        <v>22</v>
      </c>
    </row>
    <row r="3238" spans="1:11" ht="42" customHeight="1">
      <c r="A3238" s="4" t="s">
        <v>7735</v>
      </c>
      <c r="B3238" s="5" t="s">
        <v>7736</v>
      </c>
      <c r="C3238" s="5" t="s">
        <v>17</v>
      </c>
      <c r="D3238" s="5" t="s">
        <v>18</v>
      </c>
      <c r="E3238" s="5" t="s">
        <v>1020</v>
      </c>
      <c r="F3238" s="9">
        <v>103</v>
      </c>
      <c r="G3238" s="9">
        <v>1144</v>
      </c>
      <c r="H3238" s="5" t="s">
        <v>20</v>
      </c>
      <c r="I3238" s="5" t="s">
        <v>7739</v>
      </c>
      <c r="J3238" s="12" t="str">
        <f>HYPERLINK("https://www.boe.es/gazeta/dias/1804/12/25/pdfs/GMD-1804-103.pdf#page=4","Abrir facsímil")</f>
        <v>Abrir facsímil</v>
      </c>
      <c r="K3238" s="15" t="s">
        <v>22</v>
      </c>
    </row>
    <row r="3239" spans="1:11" ht="42" customHeight="1">
      <c r="A3239" s="4" t="s">
        <v>7740</v>
      </c>
      <c r="B3239" s="5" t="s">
        <v>7740</v>
      </c>
      <c r="C3239" s="5" t="s">
        <v>65</v>
      </c>
      <c r="D3239" s="5" t="s">
        <v>66</v>
      </c>
      <c r="E3239" s="5" t="s">
        <v>67</v>
      </c>
      <c r="F3239" s="9">
        <v>59</v>
      </c>
      <c r="G3239" s="9">
        <v>656</v>
      </c>
      <c r="H3239" s="5" t="s">
        <v>20</v>
      </c>
      <c r="I3239" s="5" t="s">
        <v>7741</v>
      </c>
      <c r="J3239" s="12" t="str">
        <f>HYPERLINK("https://www.boe.es/gazeta/dias/1804/07/24/pdfs/GMD-1804-59.pdf#page=10","Abrir facsímil")</f>
        <v>Abrir facsímil</v>
      </c>
      <c r="K3239" s="15" t="s">
        <v>22</v>
      </c>
    </row>
    <row r="3240" spans="1:11" ht="42" customHeight="1">
      <c r="A3240" s="4" t="s">
        <v>7742</v>
      </c>
      <c r="B3240" s="5" t="s">
        <v>7742</v>
      </c>
      <c r="C3240" s="5" t="s">
        <v>27</v>
      </c>
      <c r="D3240" s="5" t="s">
        <v>28</v>
      </c>
      <c r="E3240" s="5" t="s">
        <v>515</v>
      </c>
      <c r="F3240" s="9">
        <v>102</v>
      </c>
      <c r="G3240" s="9">
        <v>1138</v>
      </c>
      <c r="H3240" s="5" t="s">
        <v>20</v>
      </c>
      <c r="I3240" s="5" t="s">
        <v>7743</v>
      </c>
      <c r="J3240" s="12" t="str">
        <f>HYPERLINK("https://www.boe.es/gazeta/dias/1804/12/21/pdfs/GMD-1804-102.pdf#page=6","Abrir facsímil")</f>
        <v>Abrir facsímil</v>
      </c>
      <c r="K3240" s="15" t="s">
        <v>22</v>
      </c>
    </row>
    <row r="3241" spans="1:11" ht="42" customHeight="1">
      <c r="A3241" s="4" t="s">
        <v>7744</v>
      </c>
      <c r="B3241" s="5" t="s">
        <v>7744</v>
      </c>
      <c r="C3241" s="5" t="s">
        <v>17</v>
      </c>
      <c r="D3241" s="5" t="s">
        <v>18</v>
      </c>
      <c r="E3241" s="5" t="s">
        <v>54</v>
      </c>
      <c r="F3241" s="9">
        <v>63</v>
      </c>
      <c r="G3241" s="9">
        <v>700</v>
      </c>
      <c r="H3241" s="5" t="s">
        <v>20</v>
      </c>
      <c r="I3241" s="5" t="s">
        <v>7745</v>
      </c>
      <c r="J3241" s="12" t="str">
        <f>HYPERLINK("https://www.boe.es/gazeta/dias/1804/08/07/pdfs/GMD-1804-63.pdf#page=10","Abrir facsímil")</f>
        <v>Abrir facsímil</v>
      </c>
      <c r="K3241" s="15" t="s">
        <v>22</v>
      </c>
    </row>
    <row r="3242" spans="1:11" ht="42" customHeight="1">
      <c r="A3242" s="4" t="s">
        <v>7746</v>
      </c>
      <c r="B3242" s="5" t="s">
        <v>7746</v>
      </c>
      <c r="C3242" s="5" t="s">
        <v>27</v>
      </c>
      <c r="D3242" s="5" t="s">
        <v>28</v>
      </c>
      <c r="E3242" s="5" t="s">
        <v>298</v>
      </c>
      <c r="F3242" s="9">
        <v>10</v>
      </c>
      <c r="G3242" s="9">
        <v>109</v>
      </c>
      <c r="H3242" s="5" t="s">
        <v>20</v>
      </c>
      <c r="I3242" s="5" t="s">
        <v>7747</v>
      </c>
      <c r="J3242" s="12" t="str">
        <f>HYPERLINK("https://www.boe.es/gazeta/dias/1804/02/03/pdfs/GMD-1804-10.pdf#page=9","Abrir facsímil")</f>
        <v>Abrir facsímil</v>
      </c>
      <c r="K3242" s="15" t="s">
        <v>22</v>
      </c>
    </row>
    <row r="3243" spans="1:11" ht="42" customHeight="1">
      <c r="A3243" s="4" t="s">
        <v>7748</v>
      </c>
      <c r="B3243" s="5" t="s">
        <v>7748</v>
      </c>
      <c r="C3243" s="5" t="s">
        <v>198</v>
      </c>
      <c r="D3243" s="5" t="s">
        <v>66</v>
      </c>
      <c r="E3243" s="5" t="s">
        <v>87</v>
      </c>
      <c r="F3243" s="9">
        <v>9</v>
      </c>
      <c r="G3243" s="9">
        <v>98</v>
      </c>
      <c r="H3243" s="5" t="s">
        <v>20</v>
      </c>
      <c r="I3243" s="5" t="s">
        <v>7749</v>
      </c>
      <c r="J3243" s="12" t="str">
        <f>HYPERLINK("https://www.boe.es/gazeta/dias/1804/01/31/pdfs/GMD-1804-9.pdf#page=10","Abrir facsímil")</f>
        <v>Abrir facsímil</v>
      </c>
      <c r="K3243" s="15" t="s">
        <v>22</v>
      </c>
    </row>
    <row r="3244" spans="1:11" ht="42" customHeight="1">
      <c r="A3244" s="4" t="s">
        <v>7750</v>
      </c>
      <c r="B3244" s="5" t="s">
        <v>7750</v>
      </c>
      <c r="C3244" s="5" t="s">
        <v>27</v>
      </c>
      <c r="D3244" s="5" t="s">
        <v>28</v>
      </c>
      <c r="E3244" s="5" t="s">
        <v>81</v>
      </c>
      <c r="F3244" s="9">
        <v>98</v>
      </c>
      <c r="G3244" s="9">
        <v>1089</v>
      </c>
      <c r="H3244" s="5" t="s">
        <v>20</v>
      </c>
      <c r="I3244" s="5" t="s">
        <v>7751</v>
      </c>
      <c r="J3244" s="12" t="str">
        <f>HYPERLINK("https://www.boe.es/gazeta/dias/1804/12/07/pdfs/GMD-1804-98.pdf#page=5","Abrir facsímil")</f>
        <v>Abrir facsímil</v>
      </c>
      <c r="K3244" s="15" t="s">
        <v>22</v>
      </c>
    </row>
    <row r="3245" spans="1:11" ht="42" customHeight="1">
      <c r="A3245" s="4" t="s">
        <v>7752</v>
      </c>
      <c r="B3245" s="5" t="s">
        <v>7752</v>
      </c>
      <c r="C3245" s="5" t="s">
        <v>27</v>
      </c>
      <c r="D3245" s="5" t="s">
        <v>28</v>
      </c>
      <c r="E3245" s="5" t="s">
        <v>208</v>
      </c>
      <c r="F3245" s="9">
        <v>97</v>
      </c>
      <c r="G3245" s="9">
        <v>1081</v>
      </c>
      <c r="H3245" s="5" t="s">
        <v>20</v>
      </c>
      <c r="I3245" s="5" t="s">
        <v>7753</v>
      </c>
      <c r="J3245" s="12" t="str">
        <f>HYPERLINK("https://www.boe.es/gazeta/dias/1804/12/04/pdfs/GMD-1804-97.pdf#page=9","Abrir facsímil")</f>
        <v>Abrir facsímil</v>
      </c>
      <c r="K3245" s="15" t="s">
        <v>22</v>
      </c>
    </row>
    <row r="3246" spans="1:11" ht="42" customHeight="1">
      <c r="A3246" s="4" t="s">
        <v>7754</v>
      </c>
      <c r="B3246" s="5" t="s">
        <v>7755</v>
      </c>
      <c r="C3246" s="5" t="s">
        <v>57</v>
      </c>
      <c r="D3246" s="5" t="s">
        <v>58</v>
      </c>
      <c r="E3246" s="5" t="s">
        <v>212</v>
      </c>
      <c r="F3246" s="9">
        <v>89</v>
      </c>
      <c r="G3246" s="9">
        <v>988</v>
      </c>
      <c r="H3246" s="5" t="s">
        <v>20</v>
      </c>
      <c r="I3246" s="5" t="s">
        <v>7756</v>
      </c>
      <c r="J3246" s="12" t="str">
        <f>HYPERLINK("https://www.boe.es/gazeta/dias/1804/11/06/pdfs/GMD-1804-89.pdf#page=8","Abrir facsímil")</f>
        <v>Abrir facsímil</v>
      </c>
      <c r="K3246" s="15" t="s">
        <v>22</v>
      </c>
    </row>
    <row r="3247" spans="1:11" ht="42" customHeight="1">
      <c r="A3247" s="4" t="s">
        <v>7757</v>
      </c>
      <c r="B3247" s="5" t="s">
        <v>7758</v>
      </c>
      <c r="C3247" s="5" t="s">
        <v>65</v>
      </c>
      <c r="D3247" s="5" t="s">
        <v>66</v>
      </c>
      <c r="E3247" s="5" t="s">
        <v>77</v>
      </c>
      <c r="F3247" s="9">
        <v>32</v>
      </c>
      <c r="G3247" s="9">
        <v>356</v>
      </c>
      <c r="H3247" s="5" t="s">
        <v>20</v>
      </c>
      <c r="I3247" s="5" t="s">
        <v>7759</v>
      </c>
      <c r="J3247" s="12" t="str">
        <f>HYPERLINK("https://www.boe.es/gazeta/dias/1804/04/20/pdfs/GMD-1804-32.pdf#page=10","Abrir facsímil")</f>
        <v>Abrir facsímil</v>
      </c>
      <c r="K3247" s="15" t="s">
        <v>22</v>
      </c>
    </row>
    <row r="3248" spans="1:11" ht="42" customHeight="1">
      <c r="A3248" s="4" t="s">
        <v>7760</v>
      </c>
      <c r="B3248" s="5" t="s">
        <v>7760</v>
      </c>
      <c r="C3248" s="5" t="s">
        <v>27</v>
      </c>
      <c r="D3248" s="5" t="s">
        <v>28</v>
      </c>
      <c r="E3248" s="5" t="s">
        <v>140</v>
      </c>
      <c r="F3248" s="9">
        <v>39</v>
      </c>
      <c r="G3248" s="9">
        <v>435</v>
      </c>
      <c r="H3248" s="5" t="s">
        <v>20</v>
      </c>
      <c r="I3248" s="5" t="s">
        <v>7761</v>
      </c>
      <c r="J3248" s="12" t="str">
        <f>HYPERLINK("https://www.boe.es/gazeta/dias/1804/05/15/pdfs/GMD-1804-39.pdf#page=9","Abrir facsímil")</f>
        <v>Abrir facsímil</v>
      </c>
      <c r="K3248" s="15" t="s">
        <v>22</v>
      </c>
    </row>
    <row r="3249" spans="1:11" ht="42" customHeight="1">
      <c r="A3249" s="4" t="s">
        <v>7762</v>
      </c>
      <c r="B3249" s="5" t="s">
        <v>7762</v>
      </c>
      <c r="C3249" s="5" t="s">
        <v>27</v>
      </c>
      <c r="D3249" s="5" t="s">
        <v>28</v>
      </c>
      <c r="E3249" s="5" t="s">
        <v>33</v>
      </c>
      <c r="F3249" s="9">
        <v>48</v>
      </c>
      <c r="G3249" s="9">
        <v>537</v>
      </c>
      <c r="H3249" s="5" t="s">
        <v>20</v>
      </c>
      <c r="I3249" s="5" t="s">
        <v>7763</v>
      </c>
      <c r="J3249" s="12" t="str">
        <f>HYPERLINK("https://www.boe.es/gazeta/dias/1804/06/15/pdfs/GMD-1804-48.pdf#page=7","Abrir facsímil")</f>
        <v>Abrir facsímil</v>
      </c>
      <c r="K3249" s="15" t="s">
        <v>22</v>
      </c>
    </row>
    <row r="3250" spans="1:11" ht="42" customHeight="1">
      <c r="A3250" s="4" t="s">
        <v>7764</v>
      </c>
      <c r="B3250" s="5" t="s">
        <v>7764</v>
      </c>
      <c r="C3250" s="5" t="s">
        <v>27</v>
      </c>
      <c r="D3250" s="5" t="s">
        <v>28</v>
      </c>
      <c r="E3250" s="5" t="s">
        <v>497</v>
      </c>
      <c r="F3250" s="9">
        <v>25</v>
      </c>
      <c r="G3250" s="9">
        <v>285</v>
      </c>
      <c r="H3250" s="5" t="s">
        <v>20</v>
      </c>
      <c r="I3250" s="5" t="s">
        <v>7765</v>
      </c>
      <c r="J3250" s="12" t="str">
        <f>HYPERLINK("https://www.boe.es/gazeta/dias/1804/03/27/pdfs/GMD-1804-25.pdf#page=7","Abrir facsímil")</f>
        <v>Abrir facsímil</v>
      </c>
      <c r="K3250" s="15" t="s">
        <v>22</v>
      </c>
    </row>
    <row r="3251" spans="1:11" ht="42" customHeight="1">
      <c r="A3251" s="4" t="s">
        <v>7766</v>
      </c>
      <c r="B3251" s="5" t="s">
        <v>7766</v>
      </c>
      <c r="C3251" s="5" t="s">
        <v>85</v>
      </c>
      <c r="D3251" s="5" t="s">
        <v>86</v>
      </c>
      <c r="E3251" s="5" t="s">
        <v>360</v>
      </c>
      <c r="F3251" s="9">
        <v>81</v>
      </c>
      <c r="G3251" s="9">
        <v>898</v>
      </c>
      <c r="H3251" s="5" t="s">
        <v>20</v>
      </c>
      <c r="I3251" s="5" t="s">
        <v>7767</v>
      </c>
      <c r="J3251" s="12" t="str">
        <f>HYPERLINK("https://www.boe.es/gazeta/dias/1804/10/09/pdfs/GMD-1804-81.pdf#page=8","Abrir facsímil")</f>
        <v>Abrir facsímil</v>
      </c>
      <c r="K3251" s="15" t="s">
        <v>22</v>
      </c>
    </row>
    <row r="3252" spans="1:11" ht="42" customHeight="1">
      <c r="A3252" s="4" t="s">
        <v>7768</v>
      </c>
      <c r="B3252" s="5" t="s">
        <v>7768</v>
      </c>
      <c r="C3252" s="5" t="s">
        <v>85</v>
      </c>
      <c r="D3252" s="5" t="s">
        <v>86</v>
      </c>
      <c r="E3252" s="5" t="s">
        <v>216</v>
      </c>
      <c r="F3252" s="9">
        <v>67</v>
      </c>
      <c r="G3252" s="9">
        <v>751</v>
      </c>
      <c r="H3252" s="5" t="s">
        <v>20</v>
      </c>
      <c r="I3252" s="5" t="s">
        <v>7769</v>
      </c>
      <c r="J3252" s="12" t="str">
        <f>HYPERLINK("https://www.boe.es/gazeta/dias/1804/08/21/pdfs/GMD-1804-67.pdf#page=9","Abrir facsímil")</f>
        <v>Abrir facsímil</v>
      </c>
      <c r="K3252" s="15" t="s">
        <v>22</v>
      </c>
    </row>
    <row r="3253" spans="1:11" ht="42" customHeight="1">
      <c r="A3253" s="4" t="s">
        <v>7770</v>
      </c>
      <c r="B3253" s="5" t="s">
        <v>7770</v>
      </c>
      <c r="C3253" s="5" t="s">
        <v>57</v>
      </c>
      <c r="D3253" s="5" t="s">
        <v>58</v>
      </c>
      <c r="E3253" s="5" t="s">
        <v>132</v>
      </c>
      <c r="F3253" s="9">
        <v>52</v>
      </c>
      <c r="G3253" s="9">
        <v>567</v>
      </c>
      <c r="H3253" s="5" t="s">
        <v>20</v>
      </c>
      <c r="I3253" s="5" t="s">
        <v>7771</v>
      </c>
      <c r="J3253" s="12" t="str">
        <f>HYPERLINK("https://www.boe.es/gazeta/dias/1804/06/29/pdfs/GMD-1804-52.pdf#page=1","Abrir facsímil")</f>
        <v>Abrir facsímil</v>
      </c>
      <c r="K3253" s="15" t="s">
        <v>22</v>
      </c>
    </row>
    <row r="3254" spans="1:11" ht="42" customHeight="1">
      <c r="A3254" s="4" t="s">
        <v>7772</v>
      </c>
      <c r="B3254" s="5" t="s">
        <v>7773</v>
      </c>
      <c r="C3254" s="5" t="s">
        <v>198</v>
      </c>
      <c r="D3254" s="5" t="s">
        <v>66</v>
      </c>
      <c r="E3254" s="5" t="s">
        <v>191</v>
      </c>
      <c r="F3254" s="9">
        <v>101</v>
      </c>
      <c r="G3254" s="9">
        <v>1126</v>
      </c>
      <c r="H3254" s="5" t="s">
        <v>20</v>
      </c>
      <c r="I3254" s="5" t="s">
        <v>7774</v>
      </c>
      <c r="J3254" s="12" t="str">
        <f>HYPERLINK("https://www.boe.es/gazeta/dias/1804/12/18/pdfs/GMD-1804-101.pdf#page=6","Abrir facsímil")</f>
        <v>Abrir facsímil</v>
      </c>
      <c r="K3254" s="15" t="s">
        <v>22</v>
      </c>
    </row>
    <row r="3255" spans="1:11" ht="42" customHeight="1">
      <c r="A3255" s="4" t="s">
        <v>7775</v>
      </c>
      <c r="B3255" s="5" t="s">
        <v>7775</v>
      </c>
      <c r="C3255" s="5" t="s">
        <v>27</v>
      </c>
      <c r="D3255" s="5" t="s">
        <v>28</v>
      </c>
      <c r="E3255" s="5" t="s">
        <v>77</v>
      </c>
      <c r="F3255" s="9">
        <v>32</v>
      </c>
      <c r="G3255" s="9">
        <v>357</v>
      </c>
      <c r="H3255" s="5" t="s">
        <v>20</v>
      </c>
      <c r="I3255" s="5" t="s">
        <v>7776</v>
      </c>
      <c r="J3255" s="12" t="str">
        <f>HYPERLINK("https://www.boe.es/gazeta/dias/1804/04/20/pdfs/GMD-1804-32.pdf#page=11","Abrir facsímil")</f>
        <v>Abrir facsímil</v>
      </c>
      <c r="K3255" s="15" t="s">
        <v>22</v>
      </c>
    </row>
    <row r="3256" spans="1:11" ht="42" customHeight="1">
      <c r="A3256" s="4" t="s">
        <v>7777</v>
      </c>
      <c r="B3256" s="5" t="s">
        <v>7778</v>
      </c>
      <c r="C3256" s="5" t="s">
        <v>57</v>
      </c>
      <c r="D3256" s="5" t="s">
        <v>58</v>
      </c>
      <c r="E3256" s="5" t="s">
        <v>576</v>
      </c>
      <c r="F3256" s="9">
        <v>85</v>
      </c>
      <c r="G3256" s="9">
        <v>931</v>
      </c>
      <c r="H3256" s="5" t="s">
        <v>20</v>
      </c>
      <c r="I3256" s="5" t="s">
        <v>7779</v>
      </c>
      <c r="J3256" s="12" t="str">
        <f>HYPERLINK("https://www.boe.es/gazeta/dias/1804/10/23/pdfs/GMD-1804-85.pdf#page=1","Abrir facsímil")</f>
        <v>Abrir facsímil</v>
      </c>
      <c r="K3256" s="15" t="s">
        <v>22</v>
      </c>
    </row>
    <row r="3257" spans="1:11" ht="42" customHeight="1">
      <c r="A3257" s="4" t="s">
        <v>7780</v>
      </c>
      <c r="B3257" s="5" t="s">
        <v>7780</v>
      </c>
      <c r="C3257" s="5" t="s">
        <v>198</v>
      </c>
      <c r="D3257" s="5" t="s">
        <v>66</v>
      </c>
      <c r="E3257" s="5" t="s">
        <v>191</v>
      </c>
      <c r="F3257" s="9">
        <v>101</v>
      </c>
      <c r="G3257" s="9">
        <v>1130</v>
      </c>
      <c r="H3257" s="5" t="s">
        <v>20</v>
      </c>
      <c r="I3257" s="5" t="s">
        <v>7781</v>
      </c>
      <c r="J3257" s="12" t="str">
        <f>HYPERLINK("https://www.boe.es/gazeta/dias/1804/12/18/pdfs/GMD-1804-101.pdf#page=10","Abrir facsímil")</f>
        <v>Abrir facsímil</v>
      </c>
      <c r="K3257" s="15" t="s">
        <v>22</v>
      </c>
    </row>
    <row r="3258" spans="1:11" ht="42" customHeight="1">
      <c r="A3258" s="4" t="s">
        <v>7782</v>
      </c>
      <c r="B3258" s="5" t="s">
        <v>7782</v>
      </c>
      <c r="C3258" s="5" t="s">
        <v>85</v>
      </c>
      <c r="D3258" s="5" t="s">
        <v>86</v>
      </c>
      <c r="E3258" s="5" t="s">
        <v>339</v>
      </c>
      <c r="F3258" s="9">
        <v>94</v>
      </c>
      <c r="G3258" s="9">
        <v>1040</v>
      </c>
      <c r="H3258" s="5" t="s">
        <v>20</v>
      </c>
      <c r="I3258" s="5" t="s">
        <v>7783</v>
      </c>
      <c r="J3258" s="12" t="str">
        <f>HYPERLINK("https://www.boe.es/gazeta/dias/1804/11/23/pdfs/GMD-1804-94.pdf#page=8","Abrir facsímil")</f>
        <v>Abrir facsímil</v>
      </c>
      <c r="K3258" s="15" t="s">
        <v>22</v>
      </c>
    </row>
    <row r="3259" spans="1:11" ht="42" customHeight="1">
      <c r="A3259" s="4" t="s">
        <v>7784</v>
      </c>
      <c r="B3259" s="5" t="s">
        <v>7784</v>
      </c>
      <c r="C3259" s="5" t="s">
        <v>65</v>
      </c>
      <c r="D3259" s="5" t="s">
        <v>66</v>
      </c>
      <c r="E3259" s="5" t="s">
        <v>54</v>
      </c>
      <c r="F3259" s="9">
        <v>63</v>
      </c>
      <c r="G3259" s="9">
        <v>700</v>
      </c>
      <c r="H3259" s="5" t="s">
        <v>20</v>
      </c>
      <c r="I3259" s="5" t="s">
        <v>7785</v>
      </c>
      <c r="J3259" s="12" t="str">
        <f>HYPERLINK("https://www.boe.es/gazeta/dias/1804/08/07/pdfs/GMD-1804-63.pdf#page=10","Abrir facsímil")</f>
        <v>Abrir facsímil</v>
      </c>
      <c r="K3259" s="15" t="s">
        <v>22</v>
      </c>
    </row>
    <row r="3260" spans="1:11" ht="42" customHeight="1">
      <c r="A3260" s="4" t="s">
        <v>7786</v>
      </c>
      <c r="B3260" s="5" t="s">
        <v>7786</v>
      </c>
      <c r="C3260" s="5" t="s">
        <v>27</v>
      </c>
      <c r="D3260" s="5" t="s">
        <v>28</v>
      </c>
      <c r="E3260" s="5" t="s">
        <v>490</v>
      </c>
      <c r="F3260" s="9">
        <v>100</v>
      </c>
      <c r="G3260" s="9">
        <v>1119</v>
      </c>
      <c r="H3260" s="5" t="s">
        <v>20</v>
      </c>
      <c r="I3260" s="5" t="s">
        <v>7787</v>
      </c>
      <c r="J3260" s="12" t="str">
        <f>HYPERLINK("https://www.boe.es/gazeta/dias/1804/12/14/pdfs/GMD-1804-100.pdf#page=11","Abrir facsímil")</f>
        <v>Abrir facsímil</v>
      </c>
      <c r="K3260" s="15" t="s">
        <v>22</v>
      </c>
    </row>
    <row r="3261" spans="1:11" ht="42" customHeight="1">
      <c r="A3261" s="4" t="s">
        <v>7788</v>
      </c>
      <c r="B3261" s="5" t="s">
        <v>7788</v>
      </c>
      <c r="C3261" s="5" t="s">
        <v>17</v>
      </c>
      <c r="D3261" s="5" t="s">
        <v>18</v>
      </c>
      <c r="E3261" s="5" t="s">
        <v>378</v>
      </c>
      <c r="F3261" s="9">
        <v>65</v>
      </c>
      <c r="G3261" s="9">
        <v>732</v>
      </c>
      <c r="H3261" s="5" t="s">
        <v>20</v>
      </c>
      <c r="I3261" s="5" t="s">
        <v>7789</v>
      </c>
      <c r="J3261" s="12" t="str">
        <f>HYPERLINK("https://www.boe.es/gazeta/dias/1804/08/14/pdfs/GMD-1804-65.pdf#page=10","Abrir facsímil")</f>
        <v>Abrir facsímil</v>
      </c>
      <c r="K3261" s="15" t="s">
        <v>22</v>
      </c>
    </row>
    <row r="3262" spans="1:11" ht="42" customHeight="1">
      <c r="A3262" s="4" t="s">
        <v>7790</v>
      </c>
      <c r="B3262" s="5" t="s">
        <v>7790</v>
      </c>
      <c r="C3262" s="5" t="s">
        <v>27</v>
      </c>
      <c r="D3262" s="5" t="s">
        <v>28</v>
      </c>
      <c r="E3262" s="5" t="s">
        <v>147</v>
      </c>
      <c r="F3262" s="9">
        <v>77</v>
      </c>
      <c r="G3262" s="9">
        <v>859</v>
      </c>
      <c r="H3262" s="5" t="s">
        <v>20</v>
      </c>
      <c r="I3262" s="5" t="s">
        <v>7791</v>
      </c>
      <c r="J3262" s="12" t="str">
        <f>HYPERLINK("https://www.boe.es/gazeta/dias/1804/09/25/pdfs/GMD-1804-77.pdf#page=9","Abrir facsímil")</f>
        <v>Abrir facsímil</v>
      </c>
      <c r="K3262" s="15" t="s">
        <v>22</v>
      </c>
    </row>
    <row r="3263" spans="1:11" ht="42" customHeight="1">
      <c r="A3263" s="4" t="s">
        <v>7792</v>
      </c>
      <c r="B3263" s="5" t="s">
        <v>7793</v>
      </c>
      <c r="C3263" s="5" t="s">
        <v>85</v>
      </c>
      <c r="D3263" s="5" t="s">
        <v>86</v>
      </c>
      <c r="E3263" s="5" t="s">
        <v>140</v>
      </c>
      <c r="F3263" s="9">
        <v>39</v>
      </c>
      <c r="G3263" s="9">
        <v>429</v>
      </c>
      <c r="H3263" s="5" t="s">
        <v>20</v>
      </c>
      <c r="I3263" s="5" t="s">
        <v>7794</v>
      </c>
      <c r="J3263" s="12" t="str">
        <f>HYPERLINK("https://www.boe.es/gazeta/dias/1804/05/15/pdfs/GMD-1804-39.pdf#page=3","Abrir facsímil")</f>
        <v>Abrir facsímil</v>
      </c>
      <c r="K3263" s="15" t="s">
        <v>22</v>
      </c>
    </row>
    <row r="3264" spans="1:11" ht="42" customHeight="1">
      <c r="A3264" s="4" t="s">
        <v>7792</v>
      </c>
      <c r="B3264" s="5" t="s">
        <v>7793</v>
      </c>
      <c r="C3264" s="5" t="s">
        <v>57</v>
      </c>
      <c r="D3264" s="5" t="s">
        <v>58</v>
      </c>
      <c r="E3264" s="5" t="s">
        <v>19</v>
      </c>
      <c r="F3264" s="9">
        <v>60</v>
      </c>
      <c r="G3264" s="9">
        <v>663</v>
      </c>
      <c r="H3264" s="5" t="s">
        <v>20</v>
      </c>
      <c r="I3264" s="5" t="s">
        <v>7795</v>
      </c>
      <c r="J3264" s="12" t="str">
        <f>HYPERLINK("https://www.boe.es/gazeta/dias/1804/07/27/pdfs/GMD-1804-60.pdf#page=5","Abrir facsímil")</f>
        <v>Abrir facsímil</v>
      </c>
      <c r="K3264" s="15" t="s">
        <v>22</v>
      </c>
    </row>
    <row r="3265" spans="1:11" ht="42" customHeight="1">
      <c r="A3265" s="4" t="s">
        <v>7792</v>
      </c>
      <c r="B3265" s="5" t="s">
        <v>7793</v>
      </c>
      <c r="C3265" s="5" t="s">
        <v>85</v>
      </c>
      <c r="D3265" s="5" t="s">
        <v>86</v>
      </c>
      <c r="E3265" s="5" t="s">
        <v>367</v>
      </c>
      <c r="F3265" s="9">
        <v>64</v>
      </c>
      <c r="G3265" s="9">
        <v>708</v>
      </c>
      <c r="H3265" s="5" t="s">
        <v>20</v>
      </c>
      <c r="I3265" s="5" t="s">
        <v>7796</v>
      </c>
      <c r="J3265" s="12" t="str">
        <f>HYPERLINK("https://www.boe.es/gazeta/dias/1804/08/10/pdfs/GMD-1804-64.pdf#page=2","Abrir facsímil")</f>
        <v>Abrir facsímil</v>
      </c>
      <c r="K3265" s="15" t="s">
        <v>22</v>
      </c>
    </row>
    <row r="3266" spans="1:11" ht="42" customHeight="1">
      <c r="A3266" s="4" t="s">
        <v>7792</v>
      </c>
      <c r="B3266" s="5" t="s">
        <v>7793</v>
      </c>
      <c r="C3266" s="5" t="s">
        <v>57</v>
      </c>
      <c r="D3266" s="5" t="s">
        <v>58</v>
      </c>
      <c r="E3266" s="5" t="s">
        <v>360</v>
      </c>
      <c r="F3266" s="9">
        <v>81</v>
      </c>
      <c r="G3266" s="9">
        <v>894</v>
      </c>
      <c r="H3266" s="5" t="s">
        <v>20</v>
      </c>
      <c r="I3266" s="5" t="s">
        <v>7797</v>
      </c>
      <c r="J3266" s="12" t="str">
        <f>HYPERLINK("https://www.boe.es/gazeta/dias/1804/10/09/pdfs/GMD-1804-81.pdf#page=4","Abrir facsímil")</f>
        <v>Abrir facsímil</v>
      </c>
      <c r="K3266" s="15" t="s">
        <v>22</v>
      </c>
    </row>
    <row r="3267" spans="1:11" ht="42" customHeight="1">
      <c r="A3267" s="4" t="s">
        <v>7792</v>
      </c>
      <c r="B3267" s="5" t="s">
        <v>7793</v>
      </c>
      <c r="C3267" s="5" t="s">
        <v>57</v>
      </c>
      <c r="D3267" s="5" t="s">
        <v>58</v>
      </c>
      <c r="E3267" s="5" t="s">
        <v>208</v>
      </c>
      <c r="F3267" s="9">
        <v>97</v>
      </c>
      <c r="G3267" s="9">
        <v>1076</v>
      </c>
      <c r="H3267" s="5" t="s">
        <v>20</v>
      </c>
      <c r="I3267" s="5" t="s">
        <v>7798</v>
      </c>
      <c r="J3267" s="12" t="str">
        <f>HYPERLINK("https://www.boe.es/gazeta/dias/1804/12/04/pdfs/GMD-1804-97.pdf#page=4","Abrir facsímil")</f>
        <v>Abrir facsímil</v>
      </c>
      <c r="K3267" s="15" t="s">
        <v>22</v>
      </c>
    </row>
    <row r="3268" spans="1:11" ht="42" customHeight="1">
      <c r="A3268" s="4" t="s">
        <v>7799</v>
      </c>
      <c r="B3268" s="5" t="s">
        <v>7799</v>
      </c>
      <c r="C3268" s="5" t="s">
        <v>262</v>
      </c>
      <c r="D3268" s="5" t="s">
        <v>263</v>
      </c>
      <c r="E3268" s="5" t="s">
        <v>398</v>
      </c>
      <c r="F3268" s="9">
        <v>22</v>
      </c>
      <c r="G3268" s="9">
        <v>250</v>
      </c>
      <c r="H3268" s="5" t="s">
        <v>20</v>
      </c>
      <c r="I3268" s="5" t="s">
        <v>7800</v>
      </c>
      <c r="J3268" s="12" t="str">
        <f>HYPERLINK("https://www.boe.es/gazeta/dias/1804/03/16/pdfs/GMD-C-1804-22.pdf#page=2","Abrir facsímil")</f>
        <v>Abrir facsímil</v>
      </c>
      <c r="K3268" s="15" t="s">
        <v>22</v>
      </c>
    </row>
    <row r="3269" spans="1:11" ht="42" customHeight="1">
      <c r="A3269" s="4" t="s">
        <v>7801</v>
      </c>
      <c r="B3269" s="5" t="s">
        <v>7801</v>
      </c>
      <c r="C3269" s="5" t="s">
        <v>17</v>
      </c>
      <c r="D3269" s="5" t="s">
        <v>18</v>
      </c>
      <c r="E3269" s="5" t="s">
        <v>155</v>
      </c>
      <c r="F3269" s="9">
        <v>92</v>
      </c>
      <c r="G3269" s="9">
        <v>1022</v>
      </c>
      <c r="H3269" s="5" t="s">
        <v>20</v>
      </c>
      <c r="I3269" s="5" t="s">
        <v>7802</v>
      </c>
      <c r="J3269" s="12" t="str">
        <f>HYPERLINK("https://www.boe.es/gazeta/dias/1804/11/16/pdfs/GMD-1804-92.pdf#page=10","Abrir facsímil")</f>
        <v>Abrir facsímil</v>
      </c>
      <c r="K3269" s="15" t="s">
        <v>22</v>
      </c>
    </row>
    <row r="3270" spans="1:11" ht="42" customHeight="1">
      <c r="A3270" s="4" t="s">
        <v>7803</v>
      </c>
      <c r="B3270" s="5" t="s">
        <v>7804</v>
      </c>
      <c r="C3270" s="5" t="s">
        <v>27</v>
      </c>
      <c r="D3270" s="5" t="s">
        <v>28</v>
      </c>
      <c r="E3270" s="5" t="s">
        <v>59</v>
      </c>
      <c r="F3270" s="9">
        <v>55</v>
      </c>
      <c r="G3270" s="9">
        <v>613</v>
      </c>
      <c r="H3270" s="5" t="s">
        <v>20</v>
      </c>
      <c r="I3270" s="5" t="s">
        <v>7805</v>
      </c>
      <c r="J3270" s="12" t="str">
        <f>HYPERLINK("https://www.boe.es/gazeta/dias/1804/07/10/pdfs/GMD-1804-55.pdf#page=11","Abrir facsímil")</f>
        <v>Abrir facsímil</v>
      </c>
      <c r="K3270" s="15" t="s">
        <v>22</v>
      </c>
    </row>
    <row r="3271" spans="1:11" ht="42" customHeight="1">
      <c r="A3271" s="4" t="s">
        <v>7806</v>
      </c>
      <c r="B3271" s="5" t="s">
        <v>7807</v>
      </c>
      <c r="C3271" s="5" t="s">
        <v>17</v>
      </c>
      <c r="D3271" s="5" t="s">
        <v>18</v>
      </c>
      <c r="E3271" s="5" t="s">
        <v>421</v>
      </c>
      <c r="F3271" s="9">
        <v>47</v>
      </c>
      <c r="G3271" s="9">
        <v>527</v>
      </c>
      <c r="H3271" s="5" t="s">
        <v>20</v>
      </c>
      <c r="I3271" s="5" t="s">
        <v>7808</v>
      </c>
      <c r="J3271" s="12" t="str">
        <f>HYPERLINK("https://www.boe.es/gazeta/dias/1804/06/12/pdfs/GMD-1804-47.pdf#page=9","Abrir facsímil")</f>
        <v>Abrir facsímil</v>
      </c>
      <c r="K3271" s="15" t="s">
        <v>22</v>
      </c>
    </row>
    <row r="3272" spans="1:11" ht="42" customHeight="1">
      <c r="A3272" s="4" t="s">
        <v>7809</v>
      </c>
      <c r="B3272" s="5" t="s">
        <v>7809</v>
      </c>
      <c r="C3272" s="5" t="s">
        <v>17</v>
      </c>
      <c r="D3272" s="5" t="s">
        <v>18</v>
      </c>
      <c r="E3272" s="5" t="s">
        <v>191</v>
      </c>
      <c r="F3272" s="9">
        <v>101</v>
      </c>
      <c r="G3272" s="9">
        <v>1129</v>
      </c>
      <c r="H3272" s="5" t="s">
        <v>20</v>
      </c>
      <c r="I3272" s="5" t="s">
        <v>7810</v>
      </c>
      <c r="J3272" s="12" t="str">
        <f>HYPERLINK("https://www.boe.es/gazeta/dias/1804/12/18/pdfs/GMD-1804-101.pdf#page=9","Abrir facsímil")</f>
        <v>Abrir facsímil</v>
      </c>
      <c r="K3272" s="15" t="s">
        <v>22</v>
      </c>
    </row>
    <row r="3273" spans="1:11" ht="42" customHeight="1">
      <c r="A3273" s="4" t="s">
        <v>7811</v>
      </c>
      <c r="B3273" s="5" t="s">
        <v>7812</v>
      </c>
      <c r="C3273" s="5" t="s">
        <v>27</v>
      </c>
      <c r="D3273" s="5" t="s">
        <v>28</v>
      </c>
      <c r="E3273" s="5" t="s">
        <v>479</v>
      </c>
      <c r="F3273" s="9">
        <v>5</v>
      </c>
      <c r="G3273" s="9">
        <v>47</v>
      </c>
      <c r="H3273" s="5" t="s">
        <v>20</v>
      </c>
      <c r="I3273" s="5" t="s">
        <v>7813</v>
      </c>
      <c r="J3273" s="12" t="str">
        <f>HYPERLINK("https://www.boe.es/gazeta/dias/1804/01/17/pdfs/GMD-1804-5.pdf#page=7","Abrir facsímil")</f>
        <v>Abrir facsímil</v>
      </c>
      <c r="K3273" s="15" t="s">
        <v>22</v>
      </c>
    </row>
    <row r="3274" spans="1:11" ht="42" customHeight="1">
      <c r="A3274" s="4" t="s">
        <v>7814</v>
      </c>
      <c r="B3274" s="5" t="s">
        <v>7815</v>
      </c>
      <c r="C3274" s="5" t="s">
        <v>27</v>
      </c>
      <c r="D3274" s="5" t="s">
        <v>28</v>
      </c>
      <c r="E3274" s="5" t="s">
        <v>670</v>
      </c>
      <c r="F3274" s="9">
        <v>41</v>
      </c>
      <c r="G3274" s="9">
        <v>458</v>
      </c>
      <c r="H3274" s="5" t="s">
        <v>20</v>
      </c>
      <c r="I3274" s="5" t="s">
        <v>7816</v>
      </c>
      <c r="J3274" s="12" t="str">
        <f>HYPERLINK("https://www.boe.es/gazeta/dias/1804/05/22/pdfs/GMD-1804-41.pdf#page=8","Abrir facsímil")</f>
        <v>Abrir facsímil</v>
      </c>
      <c r="K3274" s="15" t="s">
        <v>22</v>
      </c>
    </row>
    <row r="3275" spans="1:11" ht="42" customHeight="1">
      <c r="A3275" s="4" t="s">
        <v>7817</v>
      </c>
      <c r="B3275" s="5" t="s">
        <v>7818</v>
      </c>
      <c r="C3275" s="5" t="s">
        <v>57</v>
      </c>
      <c r="D3275" s="5" t="s">
        <v>58</v>
      </c>
      <c r="E3275" s="5" t="s">
        <v>241</v>
      </c>
      <c r="F3275" s="9">
        <v>71</v>
      </c>
      <c r="G3275" s="9">
        <v>789</v>
      </c>
      <c r="H3275" s="5" t="s">
        <v>20</v>
      </c>
      <c r="I3275" s="5" t="s">
        <v>7819</v>
      </c>
      <c r="J3275" s="12" t="str">
        <f>HYPERLINK("https://www.boe.es/gazeta/dias/1804/09/04/pdfs/GMD-1804-71.pdf#page=3","Abrir facsímil")</f>
        <v>Abrir facsímil</v>
      </c>
      <c r="K3275" s="15" t="s">
        <v>22</v>
      </c>
    </row>
    <row r="3276" spans="1:11" ht="42" customHeight="1">
      <c r="A3276" s="4" t="s">
        <v>7817</v>
      </c>
      <c r="B3276" s="5" t="s">
        <v>7818</v>
      </c>
      <c r="C3276" s="5" t="s">
        <v>85</v>
      </c>
      <c r="D3276" s="5" t="s">
        <v>86</v>
      </c>
      <c r="E3276" s="5" t="s">
        <v>466</v>
      </c>
      <c r="F3276" s="9">
        <v>76</v>
      </c>
      <c r="G3276" s="9">
        <v>846</v>
      </c>
      <c r="H3276" s="5" t="s">
        <v>20</v>
      </c>
      <c r="I3276" s="5" t="s">
        <v>7820</v>
      </c>
      <c r="J3276" s="12" t="str">
        <f>HYPERLINK("https://www.boe.es/gazeta/dias/1804/09/21/pdfs/GMD-1804-76.pdf#page=4","Abrir facsímil")</f>
        <v>Abrir facsímil</v>
      </c>
      <c r="K3276" s="15" t="s">
        <v>22</v>
      </c>
    </row>
    <row r="3277" spans="1:11" ht="42" customHeight="1">
      <c r="A3277" s="4" t="s">
        <v>7821</v>
      </c>
      <c r="B3277" s="5" t="s">
        <v>7822</v>
      </c>
      <c r="C3277" s="5" t="s">
        <v>120</v>
      </c>
      <c r="D3277" s="5" t="s">
        <v>121</v>
      </c>
      <c r="E3277" s="5" t="s">
        <v>33</v>
      </c>
      <c r="F3277" s="9">
        <v>48</v>
      </c>
      <c r="G3277" s="9" t="s">
        <v>122</v>
      </c>
      <c r="H3277" s="5" t="s">
        <v>20</v>
      </c>
      <c r="I3277" s="5" t="s">
        <v>7823</v>
      </c>
      <c r="J3277" s="12" t="str">
        <f>HYPERLINK("https://www.boe.es/gazeta/dias/1804/06/15/pdfs/GMD-C-1804-48.pdf#page=3","Abrir facsímil")</f>
        <v>Abrir facsímil</v>
      </c>
      <c r="K3277" s="15" t="s">
        <v>22</v>
      </c>
    </row>
    <row r="3278" spans="1:11" ht="42" customHeight="1">
      <c r="A3278" s="4" t="s">
        <v>7824</v>
      </c>
      <c r="B3278" s="5" t="s">
        <v>7825</v>
      </c>
      <c r="C3278" s="5" t="s">
        <v>65</v>
      </c>
      <c r="D3278" s="5" t="s">
        <v>66</v>
      </c>
      <c r="E3278" s="5" t="s">
        <v>484</v>
      </c>
      <c r="F3278" s="9">
        <v>53</v>
      </c>
      <c r="G3278" s="9">
        <v>590</v>
      </c>
      <c r="H3278" s="5" t="s">
        <v>20</v>
      </c>
      <c r="I3278" s="5" t="s">
        <v>7826</v>
      </c>
      <c r="J3278" s="12" t="str">
        <f>HYPERLINK("https://www.boe.es/gazeta/dias/1804/07/03/pdfs/GMD-1804-53.pdf#page=8","Abrir facsímil")</f>
        <v>Abrir facsímil</v>
      </c>
      <c r="K3278" s="15" t="s">
        <v>22</v>
      </c>
    </row>
    <row r="3279" spans="1:11" ht="42" customHeight="1">
      <c r="A3279" s="4" t="s">
        <v>7827</v>
      </c>
      <c r="B3279" s="5" t="s">
        <v>7828</v>
      </c>
      <c r="C3279" s="5" t="s">
        <v>27</v>
      </c>
      <c r="D3279" s="5" t="s">
        <v>28</v>
      </c>
      <c r="E3279" s="5" t="s">
        <v>67</v>
      </c>
      <c r="F3279" s="9">
        <v>59</v>
      </c>
      <c r="G3279" s="9">
        <v>652</v>
      </c>
      <c r="H3279" s="5" t="s">
        <v>20</v>
      </c>
      <c r="I3279" s="5" t="s">
        <v>7829</v>
      </c>
      <c r="J3279" s="12" t="str">
        <f>HYPERLINK("https://www.boe.es/gazeta/dias/1804/07/24/pdfs/GMD-1804-59.pdf#page=6","Abrir facsímil")</f>
        <v>Abrir facsímil</v>
      </c>
      <c r="K3279" s="15" t="s">
        <v>22</v>
      </c>
    </row>
    <row r="3280" spans="1:11" ht="42" customHeight="1">
      <c r="A3280" s="4" t="s">
        <v>7830</v>
      </c>
      <c r="B3280" s="5" t="s">
        <v>7831</v>
      </c>
      <c r="C3280" s="5" t="s">
        <v>27</v>
      </c>
      <c r="D3280" s="5" t="s">
        <v>28</v>
      </c>
      <c r="E3280" s="5" t="s">
        <v>320</v>
      </c>
      <c r="F3280" s="9">
        <v>31</v>
      </c>
      <c r="G3280" s="9">
        <v>343</v>
      </c>
      <c r="H3280" s="5" t="s">
        <v>20</v>
      </c>
      <c r="I3280" s="5" t="s">
        <v>7832</v>
      </c>
      <c r="J3280" s="12" t="str">
        <f>HYPERLINK("https://www.boe.es/gazeta/dias/1804/04/17/pdfs/GMD-1804-31.pdf#page=9","Abrir facsímil")</f>
        <v>Abrir facsímil</v>
      </c>
      <c r="K3280" s="15" t="s">
        <v>22</v>
      </c>
    </row>
    <row r="3281" spans="1:11" ht="42" customHeight="1">
      <c r="A3281" s="4" t="s">
        <v>7833</v>
      </c>
      <c r="B3281" s="5" t="s">
        <v>7833</v>
      </c>
      <c r="C3281" s="5" t="s">
        <v>65</v>
      </c>
      <c r="D3281" s="5" t="s">
        <v>66</v>
      </c>
      <c r="E3281" s="5" t="s">
        <v>212</v>
      </c>
      <c r="F3281" s="9">
        <v>89</v>
      </c>
      <c r="G3281" s="9">
        <v>991</v>
      </c>
      <c r="H3281" s="5" t="s">
        <v>20</v>
      </c>
      <c r="I3281" s="5" t="s">
        <v>7834</v>
      </c>
      <c r="J3281" s="12" t="str">
        <f>HYPERLINK("https://www.boe.es/gazeta/dias/1804/11/06/pdfs/GMD-1804-89.pdf#page=11","Abrir facsímil")</f>
        <v>Abrir facsímil</v>
      </c>
      <c r="K3281" s="15" t="s">
        <v>22</v>
      </c>
    </row>
    <row r="3282" spans="1:11" ht="42" customHeight="1">
      <c r="A3282" s="4" t="s">
        <v>7835</v>
      </c>
      <c r="B3282" s="5" t="s">
        <v>7835</v>
      </c>
      <c r="C3282" s="5" t="s">
        <v>27</v>
      </c>
      <c r="D3282" s="5" t="s">
        <v>28</v>
      </c>
      <c r="E3282" s="5" t="s">
        <v>43</v>
      </c>
      <c r="F3282" s="9">
        <v>84</v>
      </c>
      <c r="G3282" s="9">
        <v>928</v>
      </c>
      <c r="H3282" s="5" t="s">
        <v>20</v>
      </c>
      <c r="I3282" s="5" t="s">
        <v>7836</v>
      </c>
      <c r="J3282" s="12" t="str">
        <f>HYPERLINK("https://www.boe.es/gazeta/dias/1804/10/19/pdfs/GMD-1804-84.pdf#page=6","Abrir facsímil")</f>
        <v>Abrir facsímil</v>
      </c>
      <c r="K3282" s="15" t="s">
        <v>22</v>
      </c>
    </row>
    <row r="3283" spans="1:11" ht="42" customHeight="1">
      <c r="A3283" s="4" t="s">
        <v>7837</v>
      </c>
      <c r="B3283" s="5" t="s">
        <v>7837</v>
      </c>
      <c r="C3283" s="5" t="s">
        <v>17</v>
      </c>
      <c r="D3283" s="5" t="s">
        <v>18</v>
      </c>
      <c r="E3283" s="5" t="s">
        <v>71</v>
      </c>
      <c r="F3283" s="9">
        <v>99</v>
      </c>
      <c r="G3283" s="9">
        <v>1107</v>
      </c>
      <c r="H3283" s="5" t="s">
        <v>20</v>
      </c>
      <c r="I3283" s="5" t="s">
        <v>7838</v>
      </c>
      <c r="J3283" s="12" t="str">
        <f>HYPERLINK("https://www.boe.es/gazeta/dias/1804/12/11/pdfs/GMD-1804-99.pdf#page=7","Abrir facsímil")</f>
        <v>Abrir facsímil</v>
      </c>
      <c r="K3283" s="15" t="s">
        <v>22</v>
      </c>
    </row>
    <row r="3284" spans="1:11" ht="42" customHeight="1">
      <c r="A3284" s="4" t="s">
        <v>7839</v>
      </c>
      <c r="B3284" s="5" t="s">
        <v>7839</v>
      </c>
      <c r="C3284" s="5" t="s">
        <v>65</v>
      </c>
      <c r="D3284" s="5" t="s">
        <v>66</v>
      </c>
      <c r="E3284" s="5" t="s">
        <v>77</v>
      </c>
      <c r="F3284" s="9">
        <v>32</v>
      </c>
      <c r="G3284" s="9">
        <v>356</v>
      </c>
      <c r="H3284" s="5" t="s">
        <v>20</v>
      </c>
      <c r="I3284" s="5" t="s">
        <v>7840</v>
      </c>
      <c r="J3284" s="12" t="str">
        <f>HYPERLINK("https://www.boe.es/gazeta/dias/1804/04/20/pdfs/GMD-1804-32.pdf#page=10","Abrir facsímil")</f>
        <v>Abrir facsímil</v>
      </c>
      <c r="K3284" s="15" t="s">
        <v>22</v>
      </c>
    </row>
    <row r="3285" spans="1:11" ht="42" customHeight="1">
      <c r="A3285" s="4" t="s">
        <v>7841</v>
      </c>
      <c r="B3285" s="5" t="s">
        <v>7842</v>
      </c>
      <c r="C3285" s="5" t="s">
        <v>27</v>
      </c>
      <c r="D3285" s="5" t="s">
        <v>28</v>
      </c>
      <c r="E3285" s="5" t="s">
        <v>317</v>
      </c>
      <c r="F3285" s="9">
        <v>56</v>
      </c>
      <c r="G3285" s="9">
        <v>620</v>
      </c>
      <c r="H3285" s="5" t="s">
        <v>20</v>
      </c>
      <c r="I3285" s="5" t="s">
        <v>7843</v>
      </c>
      <c r="J3285" s="12" t="str">
        <f>HYPERLINK("https://www.boe.es/gazeta/dias/1804/07/13/pdfs/GMD-1804-56.pdf#page=6","Abrir facsímil")</f>
        <v>Abrir facsímil</v>
      </c>
      <c r="K3285" s="15" t="s">
        <v>22</v>
      </c>
    </row>
    <row r="3286" spans="1:11" ht="42" customHeight="1">
      <c r="A3286" s="4" t="s">
        <v>7844</v>
      </c>
      <c r="B3286" s="5" t="s">
        <v>7844</v>
      </c>
      <c r="C3286" s="5" t="s">
        <v>57</v>
      </c>
      <c r="D3286" s="5" t="s">
        <v>58</v>
      </c>
      <c r="E3286" s="5" t="s">
        <v>43</v>
      </c>
      <c r="F3286" s="9">
        <v>84</v>
      </c>
      <c r="G3286" s="9">
        <v>925</v>
      </c>
      <c r="H3286" s="5" t="s">
        <v>20</v>
      </c>
      <c r="I3286" s="5" t="s">
        <v>7845</v>
      </c>
      <c r="J3286" s="12" t="str">
        <f>HYPERLINK("https://www.boe.es/gazeta/dias/1804/10/19/pdfs/GMD-1804-84.pdf#page=3","Abrir facsímil")</f>
        <v>Abrir facsímil</v>
      </c>
      <c r="K3286" s="15" t="s">
        <v>22</v>
      </c>
    </row>
    <row r="3287" spans="1:11" ht="42" customHeight="1">
      <c r="A3287" s="4" t="s">
        <v>7846</v>
      </c>
      <c r="B3287" s="5" t="s">
        <v>7847</v>
      </c>
      <c r="C3287" s="5" t="s">
        <v>65</v>
      </c>
      <c r="D3287" s="5" t="s">
        <v>66</v>
      </c>
      <c r="E3287" s="5" t="s">
        <v>43</v>
      </c>
      <c r="F3287" s="9">
        <v>84</v>
      </c>
      <c r="G3287" s="9">
        <v>925</v>
      </c>
      <c r="H3287" s="5" t="s">
        <v>20</v>
      </c>
      <c r="I3287" s="5" t="s">
        <v>7848</v>
      </c>
      <c r="J3287" s="12" t="str">
        <f>HYPERLINK("https://www.boe.es/gazeta/dias/1804/10/19/pdfs/GMD-1804-84.pdf#page=3","Abrir facsímil")</f>
        <v>Abrir facsímil</v>
      </c>
      <c r="K3287" s="15" t="s">
        <v>22</v>
      </c>
    </row>
    <row r="3288" spans="1:11" ht="42" customHeight="1">
      <c r="A3288" s="4" t="s">
        <v>7849</v>
      </c>
      <c r="B3288" s="5" t="s">
        <v>7850</v>
      </c>
      <c r="C3288" s="5" t="s">
        <v>17</v>
      </c>
      <c r="D3288" s="5" t="s">
        <v>18</v>
      </c>
      <c r="E3288" s="5" t="s">
        <v>71</v>
      </c>
      <c r="F3288" s="9">
        <v>99</v>
      </c>
      <c r="G3288" s="9">
        <v>1106</v>
      </c>
      <c r="H3288" s="5" t="s">
        <v>20</v>
      </c>
      <c r="I3288" s="5" t="s">
        <v>7851</v>
      </c>
      <c r="J3288" s="12" t="str">
        <f>HYPERLINK("https://www.boe.es/gazeta/dias/1804/12/11/pdfs/GMD-1804-99.pdf#page=6","Abrir facsímil")</f>
        <v>Abrir facsímil</v>
      </c>
      <c r="K3288" s="15" t="s">
        <v>22</v>
      </c>
    </row>
    <row r="3289" spans="1:11" ht="42" customHeight="1">
      <c r="A3289" s="4" t="s">
        <v>7852</v>
      </c>
      <c r="B3289" s="5" t="s">
        <v>7853</v>
      </c>
      <c r="C3289" s="5" t="s">
        <v>57</v>
      </c>
      <c r="D3289" s="5" t="s">
        <v>58</v>
      </c>
      <c r="E3289" s="5" t="s">
        <v>59</v>
      </c>
      <c r="F3289" s="9">
        <v>55</v>
      </c>
      <c r="G3289" s="9">
        <v>607</v>
      </c>
      <c r="H3289" s="5" t="s">
        <v>20</v>
      </c>
      <c r="I3289" s="5" t="s">
        <v>7854</v>
      </c>
      <c r="J3289" s="12" t="str">
        <f>HYPERLINK("https://www.boe.es/gazeta/dias/1804/07/10/pdfs/GMD-1804-55.pdf#page=5","Abrir facsímil")</f>
        <v>Abrir facsímil</v>
      </c>
      <c r="K3289" s="15" t="s">
        <v>22</v>
      </c>
    </row>
    <row r="3290" spans="1:11" ht="42" customHeight="1">
      <c r="A3290" s="4" t="s">
        <v>7855</v>
      </c>
      <c r="B3290" s="5" t="s">
        <v>7856</v>
      </c>
      <c r="C3290" s="5" t="s">
        <v>57</v>
      </c>
      <c r="D3290" s="5" t="s">
        <v>58</v>
      </c>
      <c r="E3290" s="5" t="s">
        <v>155</v>
      </c>
      <c r="F3290" s="9">
        <v>92</v>
      </c>
      <c r="G3290" s="9">
        <v>1016</v>
      </c>
      <c r="H3290" s="5" t="s">
        <v>20</v>
      </c>
      <c r="I3290" s="5" t="s">
        <v>7857</v>
      </c>
      <c r="J3290" s="12" t="str">
        <f>HYPERLINK("https://www.boe.es/gazeta/dias/1804/11/16/pdfs/GMD-1804-92.pdf#page=4","Abrir facsímil")</f>
        <v>Abrir facsímil</v>
      </c>
      <c r="K3290" s="15" t="s">
        <v>22</v>
      </c>
    </row>
    <row r="3291" spans="1:11" ht="42" customHeight="1">
      <c r="A3291" s="4" t="s">
        <v>7858</v>
      </c>
      <c r="B3291" s="5" t="s">
        <v>7859</v>
      </c>
      <c r="C3291" s="5" t="s">
        <v>57</v>
      </c>
      <c r="D3291" s="5" t="s">
        <v>58</v>
      </c>
      <c r="E3291" s="5" t="s">
        <v>91</v>
      </c>
      <c r="F3291" s="9">
        <v>72</v>
      </c>
      <c r="G3291" s="9">
        <v>804</v>
      </c>
      <c r="H3291" s="5" t="s">
        <v>20</v>
      </c>
      <c r="I3291" s="5" t="s">
        <v>7860</v>
      </c>
      <c r="J3291" s="12" t="str">
        <f>HYPERLINK("https://www.boe.es/gazeta/dias/1804/09/07/pdfs/GMD-1804-72.pdf#page=6","Abrir facsímil")</f>
        <v>Abrir facsímil</v>
      </c>
      <c r="K3291" s="15" t="s">
        <v>22</v>
      </c>
    </row>
    <row r="3292" spans="1:11" ht="42" customHeight="1">
      <c r="A3292" s="4" t="s">
        <v>7858</v>
      </c>
      <c r="B3292" s="5" t="s">
        <v>7859</v>
      </c>
      <c r="C3292" s="5" t="s">
        <v>57</v>
      </c>
      <c r="D3292" s="5" t="s">
        <v>58</v>
      </c>
      <c r="E3292" s="5" t="s">
        <v>212</v>
      </c>
      <c r="F3292" s="9">
        <v>89</v>
      </c>
      <c r="G3292" s="9">
        <v>986</v>
      </c>
      <c r="H3292" s="5" t="s">
        <v>20</v>
      </c>
      <c r="I3292" s="5" t="s">
        <v>7861</v>
      </c>
      <c r="J3292" s="12" t="str">
        <f>HYPERLINK("https://www.boe.es/gazeta/dias/1804/11/06/pdfs/GMD-1804-89.pdf#page=6","Abrir facsímil")</f>
        <v>Abrir facsímil</v>
      </c>
      <c r="K3292" s="15" t="s">
        <v>22</v>
      </c>
    </row>
    <row r="3293" spans="1:11" ht="42" customHeight="1">
      <c r="A3293" s="4" t="s">
        <v>7858</v>
      </c>
      <c r="B3293" s="5" t="s">
        <v>7859</v>
      </c>
      <c r="C3293" s="5" t="s">
        <v>57</v>
      </c>
      <c r="D3293" s="5" t="s">
        <v>58</v>
      </c>
      <c r="E3293" s="5" t="s">
        <v>23</v>
      </c>
      <c r="F3293" s="9">
        <v>91</v>
      </c>
      <c r="G3293" s="9">
        <v>1004</v>
      </c>
      <c r="H3293" s="5" t="s">
        <v>20</v>
      </c>
      <c r="I3293" s="5" t="s">
        <v>7862</v>
      </c>
      <c r="J3293" s="12" t="str">
        <f>HYPERLINK("https://www.boe.es/gazeta/dias/1804/11/13/pdfs/GMD-1804-91.pdf#page=4","Abrir facsímil")</f>
        <v>Abrir facsímil</v>
      </c>
      <c r="K3293" s="15" t="s">
        <v>22</v>
      </c>
    </row>
    <row r="3294" spans="1:11" ht="42" customHeight="1">
      <c r="A3294" s="4" t="s">
        <v>7858</v>
      </c>
      <c r="B3294" s="5" t="s">
        <v>7859</v>
      </c>
      <c r="C3294" s="5" t="s">
        <v>57</v>
      </c>
      <c r="D3294" s="5" t="s">
        <v>58</v>
      </c>
      <c r="E3294" s="5" t="s">
        <v>339</v>
      </c>
      <c r="F3294" s="9">
        <v>94</v>
      </c>
      <c r="G3294" s="9">
        <v>1035</v>
      </c>
      <c r="H3294" s="5" t="s">
        <v>20</v>
      </c>
      <c r="I3294" s="5" t="s">
        <v>7863</v>
      </c>
      <c r="J3294" s="12" t="str">
        <f>HYPERLINK("https://www.boe.es/gazeta/dias/1804/11/23/pdfs/GMD-1804-94.pdf#page=3","Abrir facsímil")</f>
        <v>Abrir facsímil</v>
      </c>
      <c r="K3294" s="15" t="s">
        <v>22</v>
      </c>
    </row>
    <row r="3295" spans="1:11" ht="42" customHeight="1">
      <c r="A3295" s="4" t="s">
        <v>7864</v>
      </c>
      <c r="B3295" s="5" t="s">
        <v>7865</v>
      </c>
      <c r="C3295" s="5" t="s">
        <v>57</v>
      </c>
      <c r="D3295" s="5" t="s">
        <v>58</v>
      </c>
      <c r="E3295" s="5" t="s">
        <v>367</v>
      </c>
      <c r="F3295" s="9">
        <v>64</v>
      </c>
      <c r="G3295" s="9">
        <v>709</v>
      </c>
      <c r="H3295" s="5" t="s">
        <v>20</v>
      </c>
      <c r="I3295" s="5" t="s">
        <v>7866</v>
      </c>
      <c r="J3295" s="12" t="str">
        <f>HYPERLINK("https://www.boe.es/gazeta/dias/1804/08/10/pdfs/GMD-1804-64.pdf#page=3","Abrir facsímil")</f>
        <v>Abrir facsímil</v>
      </c>
      <c r="K3295" s="15" t="s">
        <v>22</v>
      </c>
    </row>
    <row r="3296" spans="1:11" ht="42" customHeight="1">
      <c r="A3296" s="4" t="s">
        <v>7867</v>
      </c>
      <c r="B3296" s="5" t="s">
        <v>7867</v>
      </c>
      <c r="C3296" s="5" t="s">
        <v>27</v>
      </c>
      <c r="D3296" s="5" t="s">
        <v>28</v>
      </c>
      <c r="E3296" s="5" t="s">
        <v>191</v>
      </c>
      <c r="F3296" s="9">
        <v>101</v>
      </c>
      <c r="G3296" s="9">
        <v>1124</v>
      </c>
      <c r="H3296" s="5" t="s">
        <v>20</v>
      </c>
      <c r="I3296" s="5" t="s">
        <v>7868</v>
      </c>
      <c r="J3296" s="12" t="str">
        <f>HYPERLINK("https://www.boe.es/gazeta/dias/1804/12/18/pdfs/GMD-1804-101.pdf#page=4","Abrir facsímil")</f>
        <v>Abrir facsímil</v>
      </c>
      <c r="K3296" s="15" t="s">
        <v>22</v>
      </c>
    </row>
    <row r="3297" spans="1:11" ht="42" customHeight="1">
      <c r="A3297" s="4" t="s">
        <v>7869</v>
      </c>
      <c r="B3297" s="5" t="s">
        <v>7869</v>
      </c>
      <c r="C3297" s="5" t="s">
        <v>262</v>
      </c>
      <c r="D3297" s="5" t="s">
        <v>263</v>
      </c>
      <c r="E3297" s="5" t="s">
        <v>241</v>
      </c>
      <c r="F3297" s="9">
        <v>71</v>
      </c>
      <c r="G3297" s="9">
        <v>795</v>
      </c>
      <c r="H3297" s="5" t="s">
        <v>20</v>
      </c>
      <c r="I3297" s="5" t="s">
        <v>7870</v>
      </c>
      <c r="J3297" s="12" t="str">
        <f>HYPERLINK("https://www.boe.es/gazeta/dias/1804/09/04/pdfs/GMD-C-1804-71.pdf#page=1","Abrir facsímil")</f>
        <v>Abrir facsímil</v>
      </c>
      <c r="K3297" s="15" t="s">
        <v>22</v>
      </c>
    </row>
    <row r="3298" spans="1:11" ht="42" customHeight="1">
      <c r="A3298" s="4" t="s">
        <v>7871</v>
      </c>
      <c r="B3298" s="5" t="s">
        <v>7872</v>
      </c>
      <c r="C3298" s="5" t="s">
        <v>27</v>
      </c>
      <c r="D3298" s="5" t="s">
        <v>28</v>
      </c>
      <c r="E3298" s="5" t="s">
        <v>794</v>
      </c>
      <c r="F3298" s="9">
        <v>42</v>
      </c>
      <c r="G3298" s="9">
        <v>468</v>
      </c>
      <c r="H3298" s="5" t="s">
        <v>20</v>
      </c>
      <c r="I3298" s="5" t="s">
        <v>7873</v>
      </c>
      <c r="J3298" s="12" t="str">
        <f>HYPERLINK("https://www.boe.es/gazeta/dias/1804/05/25/pdfs/GMD-1804-42.pdf#page=6","Abrir facsímil")</f>
        <v>Abrir facsímil</v>
      </c>
      <c r="K3298" s="15" t="s">
        <v>22</v>
      </c>
    </row>
    <row r="3299" spans="1:11" ht="42" customHeight="1">
      <c r="A3299" s="4" t="s">
        <v>7871</v>
      </c>
      <c r="B3299" s="5" t="s">
        <v>7872</v>
      </c>
      <c r="C3299" s="5" t="s">
        <v>27</v>
      </c>
      <c r="D3299" s="5" t="s">
        <v>28</v>
      </c>
      <c r="E3299" s="5" t="s">
        <v>147</v>
      </c>
      <c r="F3299" s="9">
        <v>77</v>
      </c>
      <c r="G3299" s="9">
        <v>854</v>
      </c>
      <c r="H3299" s="5" t="s">
        <v>20</v>
      </c>
      <c r="I3299" s="5" t="s">
        <v>7874</v>
      </c>
      <c r="J3299" s="12" t="str">
        <f>HYPERLINK("https://www.boe.es/gazeta/dias/1804/09/25/pdfs/GMD-1804-77.pdf#page=4","Abrir facsímil")</f>
        <v>Abrir facsímil</v>
      </c>
      <c r="K3299" s="15" t="s">
        <v>22</v>
      </c>
    </row>
    <row r="3300" spans="1:11" ht="42" customHeight="1">
      <c r="A3300" s="4" t="s">
        <v>7871</v>
      </c>
      <c r="B3300" s="5" t="s">
        <v>7872</v>
      </c>
      <c r="C3300" s="5" t="s">
        <v>57</v>
      </c>
      <c r="D3300" s="5" t="s">
        <v>58</v>
      </c>
      <c r="E3300" s="5" t="s">
        <v>23</v>
      </c>
      <c r="F3300" s="9">
        <v>91</v>
      </c>
      <c r="G3300" s="9">
        <v>1005</v>
      </c>
      <c r="H3300" s="5" t="s">
        <v>20</v>
      </c>
      <c r="I3300" s="5" t="s">
        <v>7875</v>
      </c>
      <c r="J3300" s="12" t="str">
        <f>HYPERLINK("https://www.boe.es/gazeta/dias/1804/11/13/pdfs/GMD-1804-91.pdf#page=5","Abrir facsímil")</f>
        <v>Abrir facsímil</v>
      </c>
      <c r="K3300" s="15" t="s">
        <v>22</v>
      </c>
    </row>
    <row r="3301" spans="1:11" ht="42" customHeight="1">
      <c r="A3301" s="4" t="s">
        <v>7876</v>
      </c>
      <c r="B3301" s="5" t="s">
        <v>7877</v>
      </c>
      <c r="C3301" s="5" t="s">
        <v>57</v>
      </c>
      <c r="D3301" s="5" t="s">
        <v>58</v>
      </c>
      <c r="E3301" s="5" t="s">
        <v>1449</v>
      </c>
      <c r="F3301" s="9">
        <v>8</v>
      </c>
      <c r="G3301" s="9">
        <v>81</v>
      </c>
      <c r="H3301" s="5" t="s">
        <v>20</v>
      </c>
      <c r="I3301" s="5" t="s">
        <v>7878</v>
      </c>
      <c r="J3301" s="12" t="str">
        <f>HYPERLINK("https://www.boe.es/gazeta/dias/1804/01/27/pdfs/GMD-1804-8.pdf#page=5","Abrir facsímil")</f>
        <v>Abrir facsímil</v>
      </c>
      <c r="K3301" s="15" t="s">
        <v>22</v>
      </c>
    </row>
    <row r="3302" spans="1:11" ht="42" customHeight="1">
      <c r="A3302" s="4" t="s">
        <v>7879</v>
      </c>
      <c r="B3302" s="5" t="s">
        <v>7880</v>
      </c>
      <c r="C3302" s="5" t="s">
        <v>57</v>
      </c>
      <c r="D3302" s="5" t="s">
        <v>58</v>
      </c>
      <c r="E3302" s="5" t="s">
        <v>87</v>
      </c>
      <c r="F3302" s="9">
        <v>9</v>
      </c>
      <c r="G3302" s="9">
        <v>92</v>
      </c>
      <c r="H3302" s="5" t="s">
        <v>20</v>
      </c>
      <c r="I3302" s="5" t="s">
        <v>7881</v>
      </c>
      <c r="J3302" s="12" t="str">
        <f>HYPERLINK("https://www.boe.es/gazeta/dias/1804/01/31/pdfs/GMD-1804-9.pdf#page=4","Abrir facsímil")</f>
        <v>Abrir facsímil</v>
      </c>
      <c r="K3302" s="15" t="s">
        <v>22</v>
      </c>
    </row>
    <row r="3303" spans="1:11" ht="42" customHeight="1">
      <c r="A3303" s="4" t="s">
        <v>7882</v>
      </c>
      <c r="B3303" s="5" t="s">
        <v>7883</v>
      </c>
      <c r="C3303" s="5" t="s">
        <v>57</v>
      </c>
      <c r="D3303" s="5" t="s">
        <v>58</v>
      </c>
      <c r="E3303" s="5" t="s">
        <v>106</v>
      </c>
      <c r="F3303" s="9">
        <v>34</v>
      </c>
      <c r="G3303" s="9">
        <v>372</v>
      </c>
      <c r="H3303" s="5" t="s">
        <v>20</v>
      </c>
      <c r="I3303" s="5" t="s">
        <v>7884</v>
      </c>
      <c r="J3303" s="12" t="str">
        <f>HYPERLINK("https://www.boe.es/gazeta/dias/1804/04/27/pdfs/GMD-1804-34.pdf#page=2","Abrir facsímil")</f>
        <v>Abrir facsímil</v>
      </c>
      <c r="K3303" s="15" t="s">
        <v>22</v>
      </c>
    </row>
    <row r="3304" spans="1:11" ht="42" customHeight="1">
      <c r="A3304" s="4" t="s">
        <v>7885</v>
      </c>
      <c r="B3304" s="5" t="s">
        <v>7886</v>
      </c>
      <c r="C3304" s="5" t="s">
        <v>27</v>
      </c>
      <c r="D3304" s="5" t="s">
        <v>28</v>
      </c>
      <c r="E3304" s="5" t="s">
        <v>794</v>
      </c>
      <c r="F3304" s="9">
        <v>42</v>
      </c>
      <c r="G3304" s="9">
        <v>467</v>
      </c>
      <c r="H3304" s="5" t="s">
        <v>20</v>
      </c>
      <c r="I3304" s="5" t="s">
        <v>7887</v>
      </c>
      <c r="J3304" s="12" t="str">
        <f>HYPERLINK("https://www.boe.es/gazeta/dias/1804/05/25/pdfs/GMD-1804-42.pdf#page=5","Abrir facsímil")</f>
        <v>Abrir facsímil</v>
      </c>
      <c r="K3304" s="15" t="s">
        <v>22</v>
      </c>
    </row>
    <row r="3305" spans="1:11" ht="42" customHeight="1">
      <c r="A3305" s="4" t="s">
        <v>7885</v>
      </c>
      <c r="B3305" s="5" t="s">
        <v>7886</v>
      </c>
      <c r="C3305" s="5" t="s">
        <v>57</v>
      </c>
      <c r="D3305" s="5" t="s">
        <v>58</v>
      </c>
      <c r="E3305" s="5" t="s">
        <v>666</v>
      </c>
      <c r="F3305" s="9">
        <v>57</v>
      </c>
      <c r="G3305" s="9">
        <v>625</v>
      </c>
      <c r="H3305" s="5" t="s">
        <v>20</v>
      </c>
      <c r="I3305" s="5" t="s">
        <v>7888</v>
      </c>
      <c r="J3305" s="12" t="str">
        <f>HYPERLINK("https://www.boe.es/gazeta/dias/1804/07/17/pdfs/GMD-1804-57.pdf#page=3","Abrir facsímil")</f>
        <v>Abrir facsímil</v>
      </c>
      <c r="K3305" s="15" t="s">
        <v>22</v>
      </c>
    </row>
    <row r="3306" spans="1:11" ht="42" customHeight="1">
      <c r="A3306" s="4" t="s">
        <v>7885</v>
      </c>
      <c r="B3306" s="5" t="s">
        <v>7886</v>
      </c>
      <c r="C3306" s="5" t="s">
        <v>57</v>
      </c>
      <c r="D3306" s="5" t="s">
        <v>58</v>
      </c>
      <c r="E3306" s="5" t="s">
        <v>241</v>
      </c>
      <c r="F3306" s="9">
        <v>71</v>
      </c>
      <c r="G3306" s="9">
        <v>789</v>
      </c>
      <c r="H3306" s="5" t="s">
        <v>20</v>
      </c>
      <c r="I3306" s="5" t="s">
        <v>7889</v>
      </c>
      <c r="J3306" s="12" t="str">
        <f>HYPERLINK("https://www.boe.es/gazeta/dias/1804/09/04/pdfs/GMD-1804-71.pdf#page=3","Abrir facsímil")</f>
        <v>Abrir facsímil</v>
      </c>
      <c r="K3306" s="15" t="s">
        <v>22</v>
      </c>
    </row>
    <row r="3307" spans="1:11" ht="42" customHeight="1">
      <c r="A3307" s="4" t="s">
        <v>7890</v>
      </c>
      <c r="B3307" s="5" t="s">
        <v>7891</v>
      </c>
      <c r="C3307" s="5" t="s">
        <v>57</v>
      </c>
      <c r="D3307" s="5" t="s">
        <v>58</v>
      </c>
      <c r="E3307" s="5" t="s">
        <v>479</v>
      </c>
      <c r="F3307" s="9">
        <v>5</v>
      </c>
      <c r="G3307" s="9">
        <v>45</v>
      </c>
      <c r="H3307" s="5" t="s">
        <v>20</v>
      </c>
      <c r="I3307" s="5" t="s">
        <v>7892</v>
      </c>
      <c r="J3307" s="12" t="str">
        <f>HYPERLINK("https://www.boe.es/gazeta/dias/1804/01/17/pdfs/GMD-1804-5.pdf#page=5","Abrir facsímil")</f>
        <v>Abrir facsímil</v>
      </c>
      <c r="K3307" s="15" t="s">
        <v>22</v>
      </c>
    </row>
    <row r="3308" spans="1:11" ht="42" customHeight="1">
      <c r="A3308" s="4" t="s">
        <v>7893</v>
      </c>
      <c r="B3308" s="5" t="s">
        <v>7893</v>
      </c>
      <c r="C3308" s="5" t="s">
        <v>57</v>
      </c>
      <c r="D3308" s="5" t="s">
        <v>58</v>
      </c>
      <c r="E3308" s="5" t="s">
        <v>241</v>
      </c>
      <c r="F3308" s="9">
        <v>71</v>
      </c>
      <c r="G3308" s="9">
        <v>788</v>
      </c>
      <c r="H3308" s="5" t="s">
        <v>20</v>
      </c>
      <c r="I3308" s="5" t="s">
        <v>7894</v>
      </c>
      <c r="J3308" s="12" t="str">
        <f>HYPERLINK("https://www.boe.es/gazeta/dias/1804/09/04/pdfs/GMD-1804-71.pdf#page=2","Abrir facsímil")</f>
        <v>Abrir facsímil</v>
      </c>
      <c r="K3308" s="15" t="s">
        <v>22</v>
      </c>
    </row>
    <row r="3309" spans="1:11" ht="42" customHeight="1">
      <c r="A3309" s="4" t="s">
        <v>7893</v>
      </c>
      <c r="B3309" s="5" t="s">
        <v>7893</v>
      </c>
      <c r="C3309" s="5" t="s">
        <v>85</v>
      </c>
      <c r="D3309" s="5" t="s">
        <v>86</v>
      </c>
      <c r="E3309" s="5" t="s">
        <v>155</v>
      </c>
      <c r="F3309" s="9">
        <v>92</v>
      </c>
      <c r="G3309" s="9">
        <v>1016</v>
      </c>
      <c r="H3309" s="5" t="s">
        <v>20</v>
      </c>
      <c r="I3309" s="5" t="s">
        <v>7895</v>
      </c>
      <c r="J3309" s="12" t="str">
        <f>HYPERLINK("https://www.boe.es/gazeta/dias/1804/11/16/pdfs/GMD-1804-92.pdf#page=4","Abrir facsímil")</f>
        <v>Abrir facsímil</v>
      </c>
      <c r="K3309" s="15" t="s">
        <v>22</v>
      </c>
    </row>
    <row r="3310" spans="1:11" ht="42" customHeight="1">
      <c r="A3310" s="4" t="s">
        <v>7896</v>
      </c>
      <c r="B3310" s="5" t="s">
        <v>7897</v>
      </c>
      <c r="C3310" s="5" t="s">
        <v>57</v>
      </c>
      <c r="D3310" s="5" t="s">
        <v>58</v>
      </c>
      <c r="E3310" s="5" t="s">
        <v>1449</v>
      </c>
      <c r="F3310" s="9">
        <v>8</v>
      </c>
      <c r="G3310" s="9">
        <v>82</v>
      </c>
      <c r="H3310" s="5" t="s">
        <v>20</v>
      </c>
      <c r="I3310" s="5" t="s">
        <v>7898</v>
      </c>
      <c r="J3310" s="12" t="str">
        <f>HYPERLINK("https://www.boe.es/gazeta/dias/1804/01/27/pdfs/GMD-1804-8.pdf#page=6","Abrir facsímil")</f>
        <v>Abrir facsímil</v>
      </c>
      <c r="K3310" s="15" t="s">
        <v>22</v>
      </c>
    </row>
    <row r="3311" spans="1:11" ht="42" customHeight="1">
      <c r="A3311" s="4" t="s">
        <v>7899</v>
      </c>
      <c r="B3311" s="5" t="s">
        <v>7899</v>
      </c>
      <c r="C3311" s="5" t="s">
        <v>85</v>
      </c>
      <c r="D3311" s="5" t="s">
        <v>86</v>
      </c>
      <c r="E3311" s="5" t="s">
        <v>143</v>
      </c>
      <c r="F3311" s="9">
        <v>87</v>
      </c>
      <c r="G3311" s="9">
        <v>958</v>
      </c>
      <c r="H3311" s="5" t="s">
        <v>20</v>
      </c>
      <c r="I3311" s="5" t="s">
        <v>7900</v>
      </c>
      <c r="J3311" s="12" t="str">
        <f>HYPERLINK("https://www.boe.es/gazeta/dias/1804/10/30/pdfs/GMD-1804-87.pdf#page=2","Abrir facsímil")</f>
        <v>Abrir facsímil</v>
      </c>
      <c r="K3311" s="15" t="s">
        <v>22</v>
      </c>
    </row>
    <row r="3312" spans="1:11" ht="42" customHeight="1">
      <c r="A3312" s="4" t="s">
        <v>7901</v>
      </c>
      <c r="B3312" s="5" t="s">
        <v>7902</v>
      </c>
      <c r="C3312" s="5" t="s">
        <v>17</v>
      </c>
      <c r="D3312" s="5" t="s">
        <v>18</v>
      </c>
      <c r="E3312" s="5" t="s">
        <v>308</v>
      </c>
      <c r="F3312" s="9">
        <v>96</v>
      </c>
      <c r="G3312" s="9">
        <v>1066</v>
      </c>
      <c r="H3312" s="5" t="s">
        <v>20</v>
      </c>
      <c r="I3312" s="5" t="s">
        <v>7903</v>
      </c>
      <c r="J3312" s="12" t="str">
        <f>HYPERLINK("https://www.boe.es/gazeta/dias/1804/11/30/pdfs/GMD-1804-96.pdf#page=6","Abrir facsímil")</f>
        <v>Abrir facsímil</v>
      </c>
      <c r="K3312" s="15" t="s">
        <v>22</v>
      </c>
    </row>
    <row r="3313" spans="1:11" ht="42" customHeight="1">
      <c r="A3313" s="4" t="s">
        <v>7904</v>
      </c>
      <c r="B3313" s="5" t="s">
        <v>7904</v>
      </c>
      <c r="C3313" s="5" t="s">
        <v>65</v>
      </c>
      <c r="D3313" s="5" t="s">
        <v>66</v>
      </c>
      <c r="E3313" s="5" t="s">
        <v>97</v>
      </c>
      <c r="F3313" s="9">
        <v>50</v>
      </c>
      <c r="G3313" s="9">
        <v>548</v>
      </c>
      <c r="H3313" s="5" t="s">
        <v>20</v>
      </c>
      <c r="I3313" s="5" t="s">
        <v>7905</v>
      </c>
      <c r="J3313" s="12" t="str">
        <f>HYPERLINK("https://www.boe.es/gazeta/dias/1804/06/22/pdfs/GMD-1804-50.pdf#page=2","Abrir facsímil")</f>
        <v>Abrir facsímil</v>
      </c>
      <c r="K3313" s="15" t="s">
        <v>22</v>
      </c>
    </row>
    <row r="3314" spans="1:11" ht="42" customHeight="1">
      <c r="A3314" s="4" t="s">
        <v>7906</v>
      </c>
      <c r="B3314" s="5" t="s">
        <v>7906</v>
      </c>
      <c r="C3314" s="5" t="s">
        <v>57</v>
      </c>
      <c r="D3314" s="5" t="s">
        <v>58</v>
      </c>
      <c r="E3314" s="5" t="s">
        <v>33</v>
      </c>
      <c r="F3314" s="9">
        <v>48</v>
      </c>
      <c r="G3314" s="9">
        <v>531</v>
      </c>
      <c r="H3314" s="5" t="s">
        <v>20</v>
      </c>
      <c r="I3314" s="5" t="s">
        <v>7907</v>
      </c>
      <c r="J3314" s="12" t="str">
        <f>HYPERLINK("https://www.boe.es/gazeta/dias/1804/06/15/pdfs/GMD-1804-48.pdf#page=1","Abrir facsímil")</f>
        <v>Abrir facsímil</v>
      </c>
      <c r="K3314" s="15" t="s">
        <v>22</v>
      </c>
    </row>
    <row r="3315" spans="1:11" ht="42" customHeight="1">
      <c r="A3315" s="4" t="s">
        <v>7908</v>
      </c>
      <c r="B3315" s="5" t="s">
        <v>7908</v>
      </c>
      <c r="C3315" s="5" t="s">
        <v>27</v>
      </c>
      <c r="D3315" s="5" t="s">
        <v>28</v>
      </c>
      <c r="E3315" s="5" t="s">
        <v>538</v>
      </c>
      <c r="F3315" s="9">
        <v>27</v>
      </c>
      <c r="G3315" s="9">
        <v>298</v>
      </c>
      <c r="H3315" s="5" t="s">
        <v>20</v>
      </c>
      <c r="I3315" s="5" t="s">
        <v>7909</v>
      </c>
      <c r="J3315" s="12" t="str">
        <f>HYPERLINK("https://www.boe.es/gazeta/dias/1804/04/03/pdfs/GMD-1804-27.pdf#page=4","Abrir facsímil")</f>
        <v>Abrir facsímil</v>
      </c>
      <c r="K3315" s="15" t="s">
        <v>22</v>
      </c>
    </row>
    <row r="3316" spans="1:11" ht="42" customHeight="1">
      <c r="A3316" s="4" t="s">
        <v>7910</v>
      </c>
      <c r="B3316" s="5" t="s">
        <v>7911</v>
      </c>
      <c r="C3316" s="5" t="s">
        <v>27</v>
      </c>
      <c r="D3316" s="5" t="s">
        <v>28</v>
      </c>
      <c r="E3316" s="5" t="s">
        <v>109</v>
      </c>
      <c r="F3316" s="9">
        <v>35</v>
      </c>
      <c r="G3316" s="9">
        <v>385</v>
      </c>
      <c r="H3316" s="5" t="s">
        <v>20</v>
      </c>
      <c r="I3316" s="5" t="s">
        <v>7912</v>
      </c>
      <c r="J3316" s="12" t="str">
        <f>HYPERLINK("https://www.boe.es/gazeta/dias/1804/05/01/pdfs/GMD-1804-35.pdf#page=7","Abrir facsímil")</f>
        <v>Abrir facsímil</v>
      </c>
      <c r="K3316" s="15" t="s">
        <v>22</v>
      </c>
    </row>
    <row r="3317" spans="1:11" ht="42" customHeight="1">
      <c r="A3317" s="4" t="s">
        <v>7913</v>
      </c>
      <c r="B3317" s="5" t="s">
        <v>7913</v>
      </c>
      <c r="C3317" s="5" t="s">
        <v>57</v>
      </c>
      <c r="D3317" s="5" t="s">
        <v>58</v>
      </c>
      <c r="E3317" s="5" t="s">
        <v>143</v>
      </c>
      <c r="F3317" s="9">
        <v>87</v>
      </c>
      <c r="G3317" s="9">
        <v>958</v>
      </c>
      <c r="H3317" s="5" t="s">
        <v>20</v>
      </c>
      <c r="I3317" s="5" t="s">
        <v>7914</v>
      </c>
      <c r="J3317" s="12" t="str">
        <f>HYPERLINK("https://www.boe.es/gazeta/dias/1804/10/30/pdfs/GMD-1804-87.pdf#page=2","Abrir facsímil")</f>
        <v>Abrir facsímil</v>
      </c>
      <c r="K3317" s="15" t="s">
        <v>22</v>
      </c>
    </row>
    <row r="3318" spans="1:11" ht="42" customHeight="1">
      <c r="A3318" s="4" t="s">
        <v>7915</v>
      </c>
      <c r="B3318" s="5" t="s">
        <v>7916</v>
      </c>
      <c r="C3318" s="5" t="s">
        <v>27</v>
      </c>
      <c r="D3318" s="5" t="s">
        <v>28</v>
      </c>
      <c r="E3318" s="5" t="s">
        <v>950</v>
      </c>
      <c r="F3318" s="9">
        <v>90</v>
      </c>
      <c r="G3318" s="9">
        <v>999</v>
      </c>
      <c r="H3318" s="5" t="s">
        <v>20</v>
      </c>
      <c r="I3318" s="5" t="s">
        <v>7917</v>
      </c>
      <c r="J3318" s="12" t="str">
        <f>HYPERLINK("https://www.boe.es/gazeta/dias/1804/11/09/pdfs/GMD-1804-90.pdf#page=7","Abrir facsímil")</f>
        <v>Abrir facsímil</v>
      </c>
      <c r="K3318" s="15" t="s">
        <v>22</v>
      </c>
    </row>
    <row r="3319" spans="1:11" ht="42" customHeight="1">
      <c r="A3319" s="4" t="s">
        <v>7918</v>
      </c>
      <c r="B3319" s="5" t="s">
        <v>7919</v>
      </c>
      <c r="C3319" s="5" t="s">
        <v>57</v>
      </c>
      <c r="D3319" s="5" t="s">
        <v>58</v>
      </c>
      <c r="E3319" s="5" t="s">
        <v>226</v>
      </c>
      <c r="F3319" s="9">
        <v>17</v>
      </c>
      <c r="G3319" s="9">
        <v>181</v>
      </c>
      <c r="H3319" s="5" t="s">
        <v>20</v>
      </c>
      <c r="I3319" s="5" t="s">
        <v>7920</v>
      </c>
      <c r="J3319" s="12" t="str">
        <f>HYPERLINK("https://www.boe.es/gazeta/dias/1804/02/28/pdfs/GMD-1804-17.pdf#page=1","Abrir facsímil")</f>
        <v>Abrir facsímil</v>
      </c>
      <c r="K3319" s="15" t="s">
        <v>22</v>
      </c>
    </row>
    <row r="3320" spans="1:11" ht="42" customHeight="1">
      <c r="A3320" s="4" t="s">
        <v>7921</v>
      </c>
      <c r="B3320" s="5" t="s">
        <v>7922</v>
      </c>
      <c r="C3320" s="5" t="s">
        <v>27</v>
      </c>
      <c r="D3320" s="5" t="s">
        <v>28</v>
      </c>
      <c r="E3320" s="5" t="s">
        <v>857</v>
      </c>
      <c r="F3320" s="9">
        <v>28</v>
      </c>
      <c r="G3320" s="9">
        <v>308</v>
      </c>
      <c r="H3320" s="5" t="s">
        <v>20</v>
      </c>
      <c r="I3320" s="5" t="s">
        <v>7923</v>
      </c>
      <c r="J3320" s="12" t="str">
        <f>HYPERLINK("https://www.boe.es/gazeta/dias/1804/04/06/pdfs/GMD-1804-28.pdf#page=6","Abrir facsímil")</f>
        <v>Abrir facsímil</v>
      </c>
      <c r="K3320" s="15" t="s">
        <v>22</v>
      </c>
    </row>
    <row r="3321" spans="1:11" ht="42" customHeight="1">
      <c r="A3321" s="4" t="s">
        <v>7924</v>
      </c>
      <c r="B3321" s="5" t="s">
        <v>7925</v>
      </c>
      <c r="C3321" s="5" t="s">
        <v>27</v>
      </c>
      <c r="D3321" s="5" t="s">
        <v>28</v>
      </c>
      <c r="E3321" s="5" t="s">
        <v>326</v>
      </c>
      <c r="F3321" s="9">
        <v>69</v>
      </c>
      <c r="G3321" s="9">
        <v>775</v>
      </c>
      <c r="H3321" s="5" t="s">
        <v>20</v>
      </c>
      <c r="I3321" s="5" t="s">
        <v>7926</v>
      </c>
      <c r="J3321" s="12" t="str">
        <f>HYPERLINK("https://www.boe.es/gazeta/dias/1804/08/28/pdfs/GMD-1804-69.pdf#page=9","Abrir facsímil")</f>
        <v>Abrir facsímil</v>
      </c>
      <c r="K3321" s="15" t="s">
        <v>22</v>
      </c>
    </row>
    <row r="3322" spans="1:11" ht="42" customHeight="1">
      <c r="A3322" s="4" t="s">
        <v>7927</v>
      </c>
      <c r="B3322" s="5" t="s">
        <v>7928</v>
      </c>
      <c r="C3322" s="5" t="s">
        <v>85</v>
      </c>
      <c r="D3322" s="5" t="s">
        <v>86</v>
      </c>
      <c r="E3322" s="5" t="s">
        <v>637</v>
      </c>
      <c r="F3322" s="9">
        <v>74</v>
      </c>
      <c r="G3322" s="9">
        <v>832</v>
      </c>
      <c r="H3322" s="5" t="s">
        <v>20</v>
      </c>
      <c r="I3322" s="5" t="s">
        <v>7929</v>
      </c>
      <c r="J3322" s="12" t="str">
        <f>HYPERLINK("https://www.boe.es/gazeta/dias/1804/09/14/pdfs/GMD-1804-74.pdf#page=10","Abrir facsímil")</f>
        <v>Abrir facsímil</v>
      </c>
      <c r="K3322" s="15" t="s">
        <v>22</v>
      </c>
    </row>
    <row r="3323" spans="1:11" ht="42" customHeight="1">
      <c r="A3323" s="4" t="s">
        <v>7930</v>
      </c>
      <c r="B3323" s="5" t="s">
        <v>7931</v>
      </c>
      <c r="C3323" s="5" t="s">
        <v>17</v>
      </c>
      <c r="D3323" s="5" t="s">
        <v>18</v>
      </c>
      <c r="E3323" s="5" t="s">
        <v>147</v>
      </c>
      <c r="F3323" s="9">
        <v>77</v>
      </c>
      <c r="G3323" s="9">
        <v>861</v>
      </c>
      <c r="H3323" s="5" t="s">
        <v>20</v>
      </c>
      <c r="I3323" s="5" t="s">
        <v>7932</v>
      </c>
      <c r="J3323" s="12" t="str">
        <f>HYPERLINK("https://www.boe.es/gazeta/dias/1804/09/25/pdfs/GMD-1804-77.pdf#page=11","Abrir facsímil")</f>
        <v>Abrir facsímil</v>
      </c>
      <c r="K3323" s="15" t="s">
        <v>22</v>
      </c>
    </row>
    <row r="3324" spans="1:11" ht="42" customHeight="1">
      <c r="A3324" s="4" t="s">
        <v>7933</v>
      </c>
      <c r="B3324" s="5" t="s">
        <v>7934</v>
      </c>
      <c r="C3324" s="5" t="s">
        <v>27</v>
      </c>
      <c r="D3324" s="5" t="s">
        <v>28</v>
      </c>
      <c r="E3324" s="5" t="s">
        <v>199</v>
      </c>
      <c r="F3324" s="9">
        <v>46</v>
      </c>
      <c r="G3324" s="9">
        <v>512</v>
      </c>
      <c r="H3324" s="5" t="s">
        <v>20</v>
      </c>
      <c r="I3324" s="5" t="s">
        <v>7935</v>
      </c>
      <c r="J3324" s="12" t="str">
        <f>HYPERLINK("https://www.boe.es/gazeta/dias/1804/06/08/pdfs/GMD-1804-46.pdf#page=10","Abrir facsímil")</f>
        <v>Abrir facsímil</v>
      </c>
      <c r="K3324" s="15" t="s">
        <v>22</v>
      </c>
    </row>
    <row r="3325" spans="1:11" ht="42" customHeight="1">
      <c r="A3325" s="4" t="s">
        <v>7936</v>
      </c>
      <c r="B3325" s="5" t="s">
        <v>7937</v>
      </c>
      <c r="C3325" s="5" t="s">
        <v>57</v>
      </c>
      <c r="D3325" s="5" t="s">
        <v>58</v>
      </c>
      <c r="E3325" s="5" t="s">
        <v>111</v>
      </c>
      <c r="F3325" s="9">
        <v>40</v>
      </c>
      <c r="G3325" s="9">
        <v>444</v>
      </c>
      <c r="H3325" s="5" t="s">
        <v>20</v>
      </c>
      <c r="I3325" s="5" t="s">
        <v>7938</v>
      </c>
      <c r="J3325" s="12" t="str">
        <f>HYPERLINK("https://www.boe.es/gazeta/dias/1804/05/18/pdfs/GMD-1804-40.pdf#page=6","Abrir facsímil")</f>
        <v>Abrir facsímil</v>
      </c>
      <c r="K3325" s="15" t="s">
        <v>22</v>
      </c>
    </row>
    <row r="3326" spans="1:11" ht="42" customHeight="1">
      <c r="A3326" s="4" t="s">
        <v>7939</v>
      </c>
      <c r="B3326" s="5" t="s">
        <v>7940</v>
      </c>
      <c r="C3326" s="5" t="s">
        <v>27</v>
      </c>
      <c r="D3326" s="5" t="s">
        <v>28</v>
      </c>
      <c r="E3326" s="5" t="s">
        <v>320</v>
      </c>
      <c r="F3326" s="9">
        <v>31</v>
      </c>
      <c r="G3326" s="9">
        <v>344</v>
      </c>
      <c r="H3326" s="5" t="s">
        <v>20</v>
      </c>
      <c r="I3326" s="5" t="s">
        <v>7941</v>
      </c>
      <c r="J3326" s="12" t="str">
        <f>HYPERLINK("https://www.boe.es/gazeta/dias/1804/04/17/pdfs/GMD-1804-31.pdf#page=10","Abrir facsímil")</f>
        <v>Abrir facsímil</v>
      </c>
      <c r="K3326" s="15" t="s">
        <v>22</v>
      </c>
    </row>
    <row r="3327" spans="1:11" ht="42" customHeight="1">
      <c r="A3327" s="4" t="s">
        <v>7942</v>
      </c>
      <c r="B3327" s="5" t="s">
        <v>7942</v>
      </c>
      <c r="C3327" s="5" t="s">
        <v>85</v>
      </c>
      <c r="D3327" s="5" t="s">
        <v>86</v>
      </c>
      <c r="E3327" s="5" t="s">
        <v>208</v>
      </c>
      <c r="F3327" s="9">
        <v>97</v>
      </c>
      <c r="G3327" s="9">
        <v>1084</v>
      </c>
      <c r="H3327" s="5" t="s">
        <v>20</v>
      </c>
      <c r="I3327" s="5" t="s">
        <v>7943</v>
      </c>
      <c r="J3327" s="12" t="str">
        <f>HYPERLINK("https://www.boe.es/gazeta/dias/1804/12/04/pdfs/GMD-1804-97.pdf#page=12","Abrir facsímil")</f>
        <v>Abrir facsímil</v>
      </c>
      <c r="K3327" s="15" t="s">
        <v>22</v>
      </c>
    </row>
    <row r="3328" spans="1:11" ht="42" customHeight="1">
      <c r="A3328" s="4" t="s">
        <v>7944</v>
      </c>
      <c r="B3328" s="5" t="s">
        <v>7944</v>
      </c>
      <c r="C3328" s="5" t="s">
        <v>57</v>
      </c>
      <c r="D3328" s="5" t="s">
        <v>58</v>
      </c>
      <c r="E3328" s="5" t="s">
        <v>587</v>
      </c>
      <c r="F3328" s="9">
        <v>62</v>
      </c>
      <c r="G3328" s="9">
        <v>680</v>
      </c>
      <c r="H3328" s="5" t="s">
        <v>20</v>
      </c>
      <c r="I3328" s="5" t="s">
        <v>7945</v>
      </c>
      <c r="J3328" s="12" t="str">
        <f>HYPERLINK("https://www.boe.es/gazeta/dias/1804/08/03/pdfs/GMD-1804-62.pdf#page=2","Abrir facsímil")</f>
        <v>Abrir facsímil</v>
      </c>
      <c r="K3328" s="15" t="s">
        <v>22</v>
      </c>
    </row>
    <row r="3329" spans="1:11" ht="42" customHeight="1">
      <c r="A3329" s="4" t="s">
        <v>7946</v>
      </c>
      <c r="B3329" s="5" t="s">
        <v>7946</v>
      </c>
      <c r="C3329" s="5" t="s">
        <v>57</v>
      </c>
      <c r="D3329" s="5" t="s">
        <v>58</v>
      </c>
      <c r="E3329" s="5" t="s">
        <v>191</v>
      </c>
      <c r="F3329" s="9">
        <v>101</v>
      </c>
      <c r="G3329" s="9">
        <v>1123</v>
      </c>
      <c r="H3329" s="5" t="s">
        <v>20</v>
      </c>
      <c r="I3329" s="5" t="s">
        <v>7947</v>
      </c>
      <c r="J3329" s="12" t="str">
        <f>HYPERLINK("https://www.boe.es/gazeta/dias/1804/12/18/pdfs/GMD-1804-101.pdf#page=3","Abrir facsímil")</f>
        <v>Abrir facsímil</v>
      </c>
      <c r="K3329" s="15" t="s">
        <v>22</v>
      </c>
    </row>
    <row r="3330" spans="1:11" ht="42" customHeight="1">
      <c r="A3330" s="4" t="s">
        <v>7948</v>
      </c>
      <c r="B3330" s="5" t="s">
        <v>7948</v>
      </c>
      <c r="C3330" s="5" t="s">
        <v>17</v>
      </c>
      <c r="D3330" s="5" t="s">
        <v>18</v>
      </c>
      <c r="E3330" s="5" t="s">
        <v>87</v>
      </c>
      <c r="F3330" s="9">
        <v>9</v>
      </c>
      <c r="G3330" s="9">
        <v>98</v>
      </c>
      <c r="H3330" s="5" t="s">
        <v>20</v>
      </c>
      <c r="I3330" s="5" t="s">
        <v>7949</v>
      </c>
      <c r="J3330" s="12" t="str">
        <f>HYPERLINK("https://www.boe.es/gazeta/dias/1804/01/31/pdfs/GMD-1804-9.pdf#page=10","Abrir facsímil")</f>
        <v>Abrir facsímil</v>
      </c>
      <c r="K3330" s="15" t="s">
        <v>22</v>
      </c>
    </row>
    <row r="3331" spans="1:11" ht="42" customHeight="1">
      <c r="A3331" s="4" t="s">
        <v>7950</v>
      </c>
      <c r="B3331" s="5" t="s">
        <v>7950</v>
      </c>
      <c r="C3331" s="5" t="s">
        <v>17</v>
      </c>
      <c r="D3331" s="5" t="s">
        <v>18</v>
      </c>
      <c r="E3331" s="5" t="s">
        <v>378</v>
      </c>
      <c r="F3331" s="9">
        <v>65</v>
      </c>
      <c r="G3331" s="9">
        <v>730</v>
      </c>
      <c r="H3331" s="5" t="s">
        <v>20</v>
      </c>
      <c r="I3331" s="5" t="s">
        <v>7951</v>
      </c>
      <c r="J3331" s="12" t="str">
        <f>HYPERLINK("https://www.boe.es/gazeta/dias/1804/08/14/pdfs/GMD-1804-65.pdf#page=8","Abrir facsímil")</f>
        <v>Abrir facsímil</v>
      </c>
      <c r="K3331" s="15" t="s">
        <v>22</v>
      </c>
    </row>
    <row r="3332" spans="1:11" ht="42" customHeight="1">
      <c r="A3332" s="4" t="s">
        <v>7952</v>
      </c>
      <c r="B3332" s="5" t="s">
        <v>7953</v>
      </c>
      <c r="C3332" s="5" t="s">
        <v>65</v>
      </c>
      <c r="D3332" s="5" t="s">
        <v>66</v>
      </c>
      <c r="E3332" s="5" t="s">
        <v>272</v>
      </c>
      <c r="F3332" s="9">
        <v>30</v>
      </c>
      <c r="G3332" s="9">
        <v>331</v>
      </c>
      <c r="H3332" s="5" t="s">
        <v>20</v>
      </c>
      <c r="I3332" s="5" t="s">
        <v>7954</v>
      </c>
      <c r="J3332" s="12" t="str">
        <f>HYPERLINK("https://www.boe.es/gazeta/dias/1804/04/13/pdfs/GMD-1804-30.pdf#page=9","Abrir facsímil")</f>
        <v>Abrir facsímil</v>
      </c>
      <c r="K3332" s="15" t="s">
        <v>22</v>
      </c>
    </row>
    <row r="3333" spans="1:11" ht="42" customHeight="1">
      <c r="A3333" s="4" t="s">
        <v>7952</v>
      </c>
      <c r="B3333" s="5" t="s">
        <v>7953</v>
      </c>
      <c r="C3333" s="5" t="s">
        <v>27</v>
      </c>
      <c r="D3333" s="5" t="s">
        <v>28</v>
      </c>
      <c r="E3333" s="5" t="s">
        <v>109</v>
      </c>
      <c r="F3333" s="9">
        <v>35</v>
      </c>
      <c r="G3333" s="9">
        <v>386</v>
      </c>
      <c r="H3333" s="5" t="s">
        <v>20</v>
      </c>
      <c r="I3333" s="5" t="s">
        <v>7955</v>
      </c>
      <c r="J3333" s="12" t="str">
        <f>HYPERLINK("https://www.boe.es/gazeta/dias/1804/05/01/pdfs/GMD-1804-35.pdf#page=8","Abrir facsímil")</f>
        <v>Abrir facsímil</v>
      </c>
      <c r="K3333" s="15" t="s">
        <v>22</v>
      </c>
    </row>
    <row r="3334" spans="1:11" ht="42" customHeight="1">
      <c r="A3334" s="4" t="s">
        <v>7956</v>
      </c>
      <c r="B3334" s="5" t="s">
        <v>7957</v>
      </c>
      <c r="C3334" s="5" t="s">
        <v>17</v>
      </c>
      <c r="D3334" s="5" t="s">
        <v>18</v>
      </c>
      <c r="E3334" s="5" t="s">
        <v>466</v>
      </c>
      <c r="F3334" s="9">
        <v>76</v>
      </c>
      <c r="G3334" s="9">
        <v>847</v>
      </c>
      <c r="H3334" s="5" t="s">
        <v>20</v>
      </c>
      <c r="I3334" s="5" t="s">
        <v>7958</v>
      </c>
      <c r="J3334" s="12" t="str">
        <f>HYPERLINK("https://www.boe.es/gazeta/dias/1804/09/21/pdfs/GMD-1804-76.pdf#page=5","Abrir facsímil")</f>
        <v>Abrir facsímil</v>
      </c>
      <c r="K3334" s="15" t="s">
        <v>22</v>
      </c>
    </row>
    <row r="3335" spans="1:11" ht="42" customHeight="1">
      <c r="A3335" s="4" t="s">
        <v>7959</v>
      </c>
      <c r="B3335" s="5" t="s">
        <v>7960</v>
      </c>
      <c r="C3335" s="5" t="s">
        <v>198</v>
      </c>
      <c r="D3335" s="5" t="s">
        <v>66</v>
      </c>
      <c r="E3335" s="5" t="s">
        <v>19</v>
      </c>
      <c r="F3335" s="9">
        <v>60</v>
      </c>
      <c r="G3335" s="9">
        <v>661</v>
      </c>
      <c r="H3335" s="5" t="s">
        <v>20</v>
      </c>
      <c r="I3335" s="5" t="s">
        <v>7961</v>
      </c>
      <c r="J3335" s="12" t="str">
        <f>HYPERLINK("https://www.boe.es/gazeta/dias/1804/07/27/pdfs/GMD-1804-60.pdf#page=3","Abrir facsímil")</f>
        <v>Abrir facsímil</v>
      </c>
      <c r="K3335" s="15" t="s">
        <v>22</v>
      </c>
    </row>
    <row r="3336" spans="1:11" ht="42" customHeight="1">
      <c r="A3336" s="4" t="s">
        <v>7962</v>
      </c>
      <c r="B3336" s="5" t="s">
        <v>7963</v>
      </c>
      <c r="C3336" s="5" t="s">
        <v>27</v>
      </c>
      <c r="D3336" s="5" t="s">
        <v>28</v>
      </c>
      <c r="E3336" s="5" t="s">
        <v>484</v>
      </c>
      <c r="F3336" s="9">
        <v>53</v>
      </c>
      <c r="G3336" s="9">
        <v>589</v>
      </c>
      <c r="H3336" s="5" t="s">
        <v>20</v>
      </c>
      <c r="I3336" s="5" t="s">
        <v>7964</v>
      </c>
      <c r="J3336" s="12" t="str">
        <f>HYPERLINK("https://www.boe.es/gazeta/dias/1804/07/03/pdfs/GMD-1804-53.pdf#page=7","Abrir facsímil")</f>
        <v>Abrir facsímil</v>
      </c>
      <c r="K3336" s="15" t="s">
        <v>22</v>
      </c>
    </row>
    <row r="3337" spans="1:11" ht="42" customHeight="1">
      <c r="A3337" s="4" t="s">
        <v>7965</v>
      </c>
      <c r="B3337" s="5" t="s">
        <v>7966</v>
      </c>
      <c r="C3337" s="5" t="s">
        <v>27</v>
      </c>
      <c r="D3337" s="5" t="s">
        <v>28</v>
      </c>
      <c r="E3337" s="5" t="s">
        <v>623</v>
      </c>
      <c r="F3337" s="9">
        <v>51</v>
      </c>
      <c r="G3337" s="9">
        <v>559</v>
      </c>
      <c r="H3337" s="5" t="s">
        <v>20</v>
      </c>
      <c r="I3337" s="5" t="s">
        <v>7967</v>
      </c>
      <c r="J3337" s="12" t="str">
        <f>HYPERLINK("https://www.boe.es/gazeta/dias/1804/06/26/pdfs/GMD-1804-51.pdf#page=5","Abrir facsímil")</f>
        <v>Abrir facsímil</v>
      </c>
      <c r="K3337" s="15" t="s">
        <v>22</v>
      </c>
    </row>
    <row r="3338" spans="1:11" ht="42" customHeight="1">
      <c r="A3338" s="4" t="s">
        <v>7968</v>
      </c>
      <c r="B3338" s="5" t="s">
        <v>7969</v>
      </c>
      <c r="C3338" s="5" t="s">
        <v>57</v>
      </c>
      <c r="D3338" s="5" t="s">
        <v>58</v>
      </c>
      <c r="E3338" s="5" t="s">
        <v>794</v>
      </c>
      <c r="F3338" s="9">
        <v>42</v>
      </c>
      <c r="G3338" s="9">
        <v>467</v>
      </c>
      <c r="H3338" s="5" t="s">
        <v>20</v>
      </c>
      <c r="I3338" s="5" t="s">
        <v>7970</v>
      </c>
      <c r="J3338" s="12" t="str">
        <f>HYPERLINK("https://www.boe.es/gazeta/dias/1804/05/25/pdfs/GMD-1804-42.pdf#page=5","Abrir facsímil")</f>
        <v>Abrir facsímil</v>
      </c>
      <c r="K3338" s="15" t="s">
        <v>22</v>
      </c>
    </row>
    <row r="3339" spans="1:11" ht="42" customHeight="1">
      <c r="A3339" s="4" t="s">
        <v>7971</v>
      </c>
      <c r="B3339" s="5" t="s">
        <v>7972</v>
      </c>
      <c r="C3339" s="5" t="s">
        <v>27</v>
      </c>
      <c r="D3339" s="5" t="s">
        <v>28</v>
      </c>
      <c r="E3339" s="5" t="s">
        <v>29</v>
      </c>
      <c r="F3339" s="9">
        <v>88</v>
      </c>
      <c r="G3339" s="9">
        <v>972</v>
      </c>
      <c r="H3339" s="5" t="s">
        <v>20</v>
      </c>
      <c r="I3339" s="5" t="s">
        <v>7973</v>
      </c>
      <c r="J3339" s="12" t="str">
        <f>HYPERLINK("https://www.boe.es/gazeta/dias/1804/11/02/pdfs/GMD-1804-88.pdf#page=4","Abrir facsímil")</f>
        <v>Abrir facsímil</v>
      </c>
      <c r="K3339" s="15" t="s">
        <v>22</v>
      </c>
    </row>
    <row r="3340" spans="1:11" ht="42" customHeight="1">
      <c r="A3340" s="4" t="s">
        <v>7974</v>
      </c>
      <c r="B3340" s="5" t="s">
        <v>7975</v>
      </c>
      <c r="C3340" s="5" t="s">
        <v>57</v>
      </c>
      <c r="D3340" s="5" t="s">
        <v>58</v>
      </c>
      <c r="E3340" s="5" t="s">
        <v>497</v>
      </c>
      <c r="F3340" s="9">
        <v>25</v>
      </c>
      <c r="G3340" s="9">
        <v>282</v>
      </c>
      <c r="H3340" s="5" t="s">
        <v>20</v>
      </c>
      <c r="I3340" s="5" t="s">
        <v>7976</v>
      </c>
      <c r="J3340" s="12" t="str">
        <f>HYPERLINK("https://www.boe.es/gazeta/dias/1804/03/27/pdfs/GMD-1804-25.pdf#page=4","Abrir facsímil")</f>
        <v>Abrir facsímil</v>
      </c>
      <c r="K3340" s="15" t="s">
        <v>22</v>
      </c>
    </row>
    <row r="3341" spans="1:11" ht="42" customHeight="1">
      <c r="A3341" s="4" t="s">
        <v>7974</v>
      </c>
      <c r="B3341" s="5" t="s">
        <v>7975</v>
      </c>
      <c r="C3341" s="5" t="s">
        <v>27</v>
      </c>
      <c r="D3341" s="5" t="s">
        <v>28</v>
      </c>
      <c r="E3341" s="5" t="s">
        <v>140</v>
      </c>
      <c r="F3341" s="9">
        <v>39</v>
      </c>
      <c r="G3341" s="9">
        <v>430</v>
      </c>
      <c r="H3341" s="5" t="s">
        <v>20</v>
      </c>
      <c r="I3341" s="5" t="s">
        <v>7977</v>
      </c>
      <c r="J3341" s="12" t="str">
        <f>HYPERLINK("https://www.boe.es/gazeta/dias/1804/05/15/pdfs/GMD-1804-39.pdf#page=4","Abrir facsímil")</f>
        <v>Abrir facsímil</v>
      </c>
      <c r="K3341" s="15" t="s">
        <v>22</v>
      </c>
    </row>
    <row r="3342" spans="1:11" ht="42" customHeight="1">
      <c r="A3342" s="4" t="s">
        <v>7974</v>
      </c>
      <c r="B3342" s="5" t="s">
        <v>7975</v>
      </c>
      <c r="C3342" s="5" t="s">
        <v>27</v>
      </c>
      <c r="D3342" s="5" t="s">
        <v>28</v>
      </c>
      <c r="E3342" s="5" t="s">
        <v>111</v>
      </c>
      <c r="F3342" s="9">
        <v>40</v>
      </c>
      <c r="G3342" s="9">
        <v>440</v>
      </c>
      <c r="H3342" s="5" t="s">
        <v>20</v>
      </c>
      <c r="I3342" s="5" t="s">
        <v>7978</v>
      </c>
      <c r="J3342" s="12" t="str">
        <f>HYPERLINK("https://www.boe.es/gazeta/dias/1804/05/18/pdfs/GMD-1804-40.pdf#page=2","Abrir facsímil")</f>
        <v>Abrir facsímil</v>
      </c>
      <c r="K3342" s="15" t="s">
        <v>22</v>
      </c>
    </row>
    <row r="3343" spans="1:11" ht="42" customHeight="1">
      <c r="A3343" s="4" t="s">
        <v>7974</v>
      </c>
      <c r="B3343" s="5" t="s">
        <v>7975</v>
      </c>
      <c r="C3343" s="5" t="s">
        <v>57</v>
      </c>
      <c r="D3343" s="5" t="s">
        <v>58</v>
      </c>
      <c r="E3343" s="5" t="s">
        <v>670</v>
      </c>
      <c r="F3343" s="9">
        <v>41</v>
      </c>
      <c r="G3343" s="9">
        <v>454</v>
      </c>
      <c r="H3343" s="5" t="s">
        <v>20</v>
      </c>
      <c r="I3343" s="5" t="s">
        <v>7979</v>
      </c>
      <c r="J3343" s="12" t="str">
        <f>HYPERLINK("https://www.boe.es/gazeta/dias/1804/05/22/pdfs/GMD-1804-41.pdf#page=4","Abrir facsímil")</f>
        <v>Abrir facsímil</v>
      </c>
      <c r="K3343" s="15" t="s">
        <v>22</v>
      </c>
    </row>
    <row r="3344" spans="1:11" ht="42" customHeight="1">
      <c r="A3344" s="4" t="s">
        <v>7974</v>
      </c>
      <c r="B3344" s="5" t="s">
        <v>7975</v>
      </c>
      <c r="C3344" s="5" t="s">
        <v>57</v>
      </c>
      <c r="D3344" s="5" t="s">
        <v>58</v>
      </c>
      <c r="E3344" s="5" t="s">
        <v>794</v>
      </c>
      <c r="F3344" s="9">
        <v>42</v>
      </c>
      <c r="G3344" s="9">
        <v>467</v>
      </c>
      <c r="H3344" s="5" t="s">
        <v>20</v>
      </c>
      <c r="I3344" s="5" t="s">
        <v>7980</v>
      </c>
      <c r="J3344" s="12" t="str">
        <f>HYPERLINK("https://www.boe.es/gazeta/dias/1804/05/25/pdfs/GMD-1804-42.pdf#page=5","Abrir facsímil")</f>
        <v>Abrir facsímil</v>
      </c>
      <c r="K3344" s="15" t="s">
        <v>22</v>
      </c>
    </row>
    <row r="3345" spans="1:11" ht="42" customHeight="1">
      <c r="A3345" s="4" t="s">
        <v>7974</v>
      </c>
      <c r="B3345" s="5" t="s">
        <v>7975</v>
      </c>
      <c r="C3345" s="5" t="s">
        <v>57</v>
      </c>
      <c r="D3345" s="5" t="s">
        <v>58</v>
      </c>
      <c r="E3345" s="5" t="s">
        <v>794</v>
      </c>
      <c r="F3345" s="9">
        <v>42</v>
      </c>
      <c r="G3345" s="9">
        <v>468</v>
      </c>
      <c r="H3345" s="5" t="s">
        <v>20</v>
      </c>
      <c r="I3345" s="5" t="s">
        <v>7981</v>
      </c>
      <c r="J3345" s="12" t="str">
        <f>HYPERLINK("https://www.boe.es/gazeta/dias/1804/05/25/pdfs/GMD-1804-42.pdf#page=6","Abrir facsímil")</f>
        <v>Abrir facsímil</v>
      </c>
      <c r="K3345" s="15" t="s">
        <v>22</v>
      </c>
    </row>
    <row r="3346" spans="1:11" ht="42" customHeight="1">
      <c r="A3346" s="4" t="s">
        <v>7974</v>
      </c>
      <c r="B3346" s="5" t="s">
        <v>7975</v>
      </c>
      <c r="C3346" s="5" t="s">
        <v>57</v>
      </c>
      <c r="D3346" s="5" t="s">
        <v>58</v>
      </c>
      <c r="E3346" s="5" t="s">
        <v>206</v>
      </c>
      <c r="F3346" s="9">
        <v>44</v>
      </c>
      <c r="G3346" s="9">
        <v>485</v>
      </c>
      <c r="H3346" s="5" t="s">
        <v>20</v>
      </c>
      <c r="I3346" s="5" t="s">
        <v>7982</v>
      </c>
      <c r="J3346" s="12" t="str">
        <f>HYPERLINK("https://www.boe.es/gazeta/dias/1804/06/01/pdfs/GMD-1804-44.pdf#page=3","Abrir facsímil")</f>
        <v>Abrir facsímil</v>
      </c>
      <c r="K3346" s="15" t="s">
        <v>22</v>
      </c>
    </row>
    <row r="3347" spans="1:11" ht="42" customHeight="1">
      <c r="A3347" s="4" t="s">
        <v>7974</v>
      </c>
      <c r="B3347" s="5" t="s">
        <v>7975</v>
      </c>
      <c r="C3347" s="5" t="s">
        <v>57</v>
      </c>
      <c r="D3347" s="5" t="s">
        <v>58</v>
      </c>
      <c r="E3347" s="5" t="s">
        <v>33</v>
      </c>
      <c r="F3347" s="9">
        <v>48</v>
      </c>
      <c r="G3347" s="9">
        <v>532</v>
      </c>
      <c r="H3347" s="5" t="s">
        <v>20</v>
      </c>
      <c r="I3347" s="5" t="s">
        <v>7983</v>
      </c>
      <c r="J3347" s="12" t="str">
        <f>HYPERLINK("https://www.boe.es/gazeta/dias/1804/06/15/pdfs/GMD-1804-48.pdf#page=2","Abrir facsímil")</f>
        <v>Abrir facsímil</v>
      </c>
      <c r="K3347" s="15" t="s">
        <v>22</v>
      </c>
    </row>
    <row r="3348" spans="1:11" ht="42" customHeight="1">
      <c r="A3348" s="4" t="s">
        <v>7974</v>
      </c>
      <c r="B3348" s="5" t="s">
        <v>7975</v>
      </c>
      <c r="C3348" s="5" t="s">
        <v>57</v>
      </c>
      <c r="D3348" s="5" t="s">
        <v>58</v>
      </c>
      <c r="E3348" s="5" t="s">
        <v>709</v>
      </c>
      <c r="F3348" s="9">
        <v>82</v>
      </c>
      <c r="G3348" s="9">
        <v>902</v>
      </c>
      <c r="H3348" s="5" t="s">
        <v>20</v>
      </c>
      <c r="I3348" s="5" t="s">
        <v>7984</v>
      </c>
      <c r="J3348" s="12" t="str">
        <f>HYPERLINK("https://www.boe.es/gazeta/dias/1804/10/12/pdfs/GMD-1804-82.pdf#page=4","Abrir facsímil")</f>
        <v>Abrir facsímil</v>
      </c>
      <c r="K3348" s="15" t="s">
        <v>22</v>
      </c>
    </row>
    <row r="3349" spans="1:11" ht="42" customHeight="1">
      <c r="A3349" s="4" t="s">
        <v>7974</v>
      </c>
      <c r="B3349" s="5" t="s">
        <v>7975</v>
      </c>
      <c r="C3349" s="5" t="s">
        <v>57</v>
      </c>
      <c r="D3349" s="5" t="s">
        <v>58</v>
      </c>
      <c r="E3349" s="5" t="s">
        <v>81</v>
      </c>
      <c r="F3349" s="9">
        <v>98</v>
      </c>
      <c r="G3349" s="9">
        <v>1086</v>
      </c>
      <c r="H3349" s="5" t="s">
        <v>20</v>
      </c>
      <c r="I3349" s="5" t="s">
        <v>7985</v>
      </c>
      <c r="J3349" s="12" t="str">
        <f>HYPERLINK("https://www.boe.es/gazeta/dias/1804/12/07/pdfs/GMD-1804-98.pdf#page=2","Abrir facsímil")</f>
        <v>Abrir facsímil</v>
      </c>
      <c r="K3349" s="15" t="s">
        <v>22</v>
      </c>
    </row>
    <row r="3350" spans="1:11" ht="42" customHeight="1">
      <c r="A3350" s="4" t="s">
        <v>7986</v>
      </c>
      <c r="B3350" s="5" t="s">
        <v>7987</v>
      </c>
      <c r="C3350" s="5" t="s">
        <v>27</v>
      </c>
      <c r="D3350" s="5" t="s">
        <v>28</v>
      </c>
      <c r="E3350" s="5" t="s">
        <v>264</v>
      </c>
      <c r="F3350" s="9">
        <v>49</v>
      </c>
      <c r="G3350" s="9" t="s">
        <v>7988</v>
      </c>
      <c r="H3350" s="5" t="s">
        <v>20</v>
      </c>
      <c r="I3350" s="5" t="s">
        <v>7989</v>
      </c>
      <c r="J3350" s="12" t="str">
        <f>HYPERLINK("https://www.boe.es/gazeta/dias/1804/06/19/pdfs/GMD-C-1804-49.pdf#page=16","Abrir facsímil")</f>
        <v>Abrir facsímil</v>
      </c>
      <c r="K3350" s="15" t="s">
        <v>22</v>
      </c>
    </row>
    <row r="3351" spans="1:11" ht="42" customHeight="1">
      <c r="A3351" s="4" t="s">
        <v>7990</v>
      </c>
      <c r="B3351" s="5" t="s">
        <v>7991</v>
      </c>
      <c r="C3351" s="5" t="s">
        <v>27</v>
      </c>
      <c r="D3351" s="5" t="s">
        <v>28</v>
      </c>
      <c r="E3351" s="5" t="s">
        <v>91</v>
      </c>
      <c r="F3351" s="9">
        <v>72</v>
      </c>
      <c r="G3351" s="9">
        <v>806</v>
      </c>
      <c r="H3351" s="5" t="s">
        <v>20</v>
      </c>
      <c r="I3351" s="5" t="s">
        <v>7992</v>
      </c>
      <c r="J3351" s="12" t="str">
        <f>HYPERLINK("https://www.boe.es/gazeta/dias/1804/09/07/pdfs/GMD-1804-72.pdf#page=8","Abrir facsímil")</f>
        <v>Abrir facsímil</v>
      </c>
      <c r="K3351" s="15" t="s">
        <v>22</v>
      </c>
    </row>
    <row r="3352" spans="1:11" ht="42" customHeight="1">
      <c r="A3352" s="4" t="s">
        <v>7993</v>
      </c>
      <c r="B3352" s="5" t="s">
        <v>7994</v>
      </c>
      <c r="C3352" s="5" t="s">
        <v>17</v>
      </c>
      <c r="D3352" s="5" t="s">
        <v>18</v>
      </c>
      <c r="E3352" s="5" t="s">
        <v>172</v>
      </c>
      <c r="F3352" s="9">
        <v>38</v>
      </c>
      <c r="G3352" s="9">
        <v>424</v>
      </c>
      <c r="H3352" s="5" t="s">
        <v>20</v>
      </c>
      <c r="I3352" s="5" t="s">
        <v>7995</v>
      </c>
      <c r="J3352" s="12" t="str">
        <f>HYPERLINK("https://www.boe.es/gazeta/dias/1804/05/11/pdfs/GMD-1804-38.pdf#page=10","Abrir facsímil")</f>
        <v>Abrir facsímil</v>
      </c>
      <c r="K3352" s="15" t="s">
        <v>22</v>
      </c>
    </row>
    <row r="3353" spans="1:11" ht="42" customHeight="1">
      <c r="A3353" s="4" t="s">
        <v>7996</v>
      </c>
      <c r="B3353" s="5" t="s">
        <v>7996</v>
      </c>
      <c r="C3353" s="5" t="s">
        <v>120</v>
      </c>
      <c r="D3353" s="5" t="s">
        <v>121</v>
      </c>
      <c r="E3353" s="5" t="s">
        <v>33</v>
      </c>
      <c r="F3353" s="9">
        <v>48</v>
      </c>
      <c r="G3353" s="9" t="s">
        <v>122</v>
      </c>
      <c r="H3353" s="5" t="s">
        <v>20</v>
      </c>
      <c r="I3353" s="5" t="s">
        <v>7997</v>
      </c>
      <c r="J3353" s="12" t="str">
        <f>HYPERLINK("https://www.boe.es/gazeta/dias/1804/06/15/pdfs/GMD-C-1804-48.pdf#page=3","Abrir facsímil")</f>
        <v>Abrir facsímil</v>
      </c>
      <c r="K3353" s="15" t="s">
        <v>22</v>
      </c>
    </row>
    <row r="3354" spans="1:11" ht="42" customHeight="1">
      <c r="A3354" s="4" t="s">
        <v>7998</v>
      </c>
      <c r="B3354" s="5" t="s">
        <v>7998</v>
      </c>
      <c r="C3354" s="5" t="s">
        <v>17</v>
      </c>
      <c r="D3354" s="5" t="s">
        <v>18</v>
      </c>
      <c r="E3354" s="5" t="s">
        <v>109</v>
      </c>
      <c r="F3354" s="9">
        <v>35</v>
      </c>
      <c r="G3354" s="9">
        <v>384</v>
      </c>
      <c r="H3354" s="5" t="s">
        <v>20</v>
      </c>
      <c r="I3354" s="5" t="s">
        <v>7999</v>
      </c>
      <c r="J3354" s="12" t="str">
        <f>HYPERLINK("https://www.boe.es/gazeta/dias/1804/05/01/pdfs/GMD-1804-35.pdf#page=6","Abrir facsímil")</f>
        <v>Abrir facsímil</v>
      </c>
      <c r="K3354" s="15" t="s">
        <v>22</v>
      </c>
    </row>
    <row r="3355" spans="1:11" ht="42" customHeight="1">
      <c r="A3355" s="4" t="s">
        <v>8000</v>
      </c>
      <c r="B3355" s="5" t="s">
        <v>8001</v>
      </c>
      <c r="C3355" s="5" t="s">
        <v>85</v>
      </c>
      <c r="D3355" s="5" t="s">
        <v>86</v>
      </c>
      <c r="E3355" s="5" t="s">
        <v>538</v>
      </c>
      <c r="F3355" s="9">
        <v>27</v>
      </c>
      <c r="G3355" s="9">
        <v>302</v>
      </c>
      <c r="H3355" s="5" t="s">
        <v>20</v>
      </c>
      <c r="I3355" s="5" t="s">
        <v>8002</v>
      </c>
      <c r="J3355" s="12" t="str">
        <f>HYPERLINK("https://www.boe.es/gazeta/dias/1804/04/03/pdfs/GMD-1804-27.pdf#page=8","Abrir facsímil")</f>
        <v>Abrir facsímil</v>
      </c>
      <c r="K3355" s="15" t="s">
        <v>22</v>
      </c>
    </row>
    <row r="3356" spans="1:11" ht="42" customHeight="1">
      <c r="A3356" s="4" t="s">
        <v>8003</v>
      </c>
      <c r="B3356" s="5" t="s">
        <v>8004</v>
      </c>
      <c r="C3356" s="5" t="s">
        <v>65</v>
      </c>
      <c r="D3356" s="5" t="s">
        <v>66</v>
      </c>
      <c r="E3356" s="5" t="s">
        <v>857</v>
      </c>
      <c r="F3356" s="9">
        <v>28</v>
      </c>
      <c r="G3356" s="9">
        <v>308</v>
      </c>
      <c r="H3356" s="5" t="s">
        <v>20</v>
      </c>
      <c r="I3356" s="5" t="s">
        <v>8005</v>
      </c>
      <c r="J3356" s="12" t="str">
        <f>HYPERLINK("https://www.boe.es/gazeta/dias/1804/04/06/pdfs/GMD-1804-28.pdf#page=6","Abrir facsímil")</f>
        <v>Abrir facsímil</v>
      </c>
      <c r="K3356" s="15" t="s">
        <v>22</v>
      </c>
    </row>
    <row r="3357" spans="1:11" ht="42" customHeight="1">
      <c r="A3357" s="4" t="s">
        <v>8006</v>
      </c>
      <c r="B3357" s="5" t="s">
        <v>8007</v>
      </c>
      <c r="C3357" s="5" t="s">
        <v>27</v>
      </c>
      <c r="D3357" s="5" t="s">
        <v>28</v>
      </c>
      <c r="E3357" s="5" t="s">
        <v>398</v>
      </c>
      <c r="F3357" s="9">
        <v>22</v>
      </c>
      <c r="G3357" s="9">
        <v>244</v>
      </c>
      <c r="H3357" s="5" t="s">
        <v>20</v>
      </c>
      <c r="I3357" s="5" t="s">
        <v>8008</v>
      </c>
      <c r="J3357" s="12" t="str">
        <f>HYPERLINK("https://www.boe.es/gazeta/dias/1804/03/16/pdfs/GMD-1804-22.pdf#page=8","Abrir facsímil")</f>
        <v>Abrir facsímil</v>
      </c>
      <c r="K3357" s="15" t="s">
        <v>22</v>
      </c>
    </row>
    <row r="3358" spans="1:11" ht="42" customHeight="1">
      <c r="A3358" s="4" t="s">
        <v>8009</v>
      </c>
      <c r="B3358" s="5" t="s">
        <v>8010</v>
      </c>
      <c r="C3358" s="5" t="s">
        <v>17</v>
      </c>
      <c r="D3358" s="5" t="s">
        <v>18</v>
      </c>
      <c r="E3358" s="5" t="s">
        <v>71</v>
      </c>
      <c r="F3358" s="9">
        <v>99</v>
      </c>
      <c r="G3358" s="9">
        <v>1106</v>
      </c>
      <c r="H3358" s="5" t="s">
        <v>20</v>
      </c>
      <c r="I3358" s="5" t="s">
        <v>8011</v>
      </c>
      <c r="J3358" s="12" t="str">
        <f>HYPERLINK("https://www.boe.es/gazeta/dias/1804/12/11/pdfs/GMD-1804-99.pdf#page=6","Abrir facsímil")</f>
        <v>Abrir facsímil</v>
      </c>
      <c r="K3358" s="15" t="s">
        <v>22</v>
      </c>
    </row>
    <row r="3359" spans="1:11" ht="42" customHeight="1">
      <c r="A3359" s="4" t="s">
        <v>8012</v>
      </c>
      <c r="B3359" s="5" t="s">
        <v>8012</v>
      </c>
      <c r="C3359" s="5" t="s">
        <v>57</v>
      </c>
      <c r="D3359" s="5" t="s">
        <v>58</v>
      </c>
      <c r="E3359" s="5" t="s">
        <v>54</v>
      </c>
      <c r="F3359" s="9">
        <v>63</v>
      </c>
      <c r="G3359" s="9">
        <v>692</v>
      </c>
      <c r="H3359" s="5" t="s">
        <v>20</v>
      </c>
      <c r="I3359" s="5" t="s">
        <v>8013</v>
      </c>
      <c r="J3359" s="12" t="str">
        <f>HYPERLINK("https://www.boe.es/gazeta/dias/1804/08/07/pdfs/GMD-1804-63.pdf#page=2","Abrir facsímil")</f>
        <v>Abrir facsímil</v>
      </c>
      <c r="K3359" s="15" t="s">
        <v>22</v>
      </c>
    </row>
    <row r="3360" spans="1:11" ht="42" customHeight="1">
      <c r="A3360" s="4" t="s">
        <v>8014</v>
      </c>
      <c r="B3360" s="5" t="s">
        <v>8015</v>
      </c>
      <c r="C3360" s="5" t="s">
        <v>57</v>
      </c>
      <c r="D3360" s="5" t="s">
        <v>58</v>
      </c>
      <c r="E3360" s="5" t="s">
        <v>147</v>
      </c>
      <c r="F3360" s="9">
        <v>77</v>
      </c>
      <c r="G3360" s="9">
        <v>856</v>
      </c>
      <c r="H3360" s="5" t="s">
        <v>20</v>
      </c>
      <c r="I3360" s="5" t="s">
        <v>8016</v>
      </c>
      <c r="J3360" s="12" t="str">
        <f>HYPERLINK("https://www.boe.es/gazeta/dias/1804/09/25/pdfs/GMD-1804-77.pdf#page=6","Abrir facsímil")</f>
        <v>Abrir facsímil</v>
      </c>
      <c r="K3360" s="15" t="s">
        <v>22</v>
      </c>
    </row>
    <row r="3361" spans="1:11" ht="42" customHeight="1">
      <c r="A3361" s="4" t="s">
        <v>8017</v>
      </c>
      <c r="B3361" s="5" t="s">
        <v>8017</v>
      </c>
      <c r="C3361" s="5" t="s">
        <v>198</v>
      </c>
      <c r="D3361" s="5" t="s">
        <v>66</v>
      </c>
      <c r="E3361" s="5" t="s">
        <v>23</v>
      </c>
      <c r="F3361" s="9">
        <v>91</v>
      </c>
      <c r="G3361" s="9">
        <v>1006</v>
      </c>
      <c r="H3361" s="5" t="s">
        <v>20</v>
      </c>
      <c r="I3361" s="5" t="s">
        <v>8018</v>
      </c>
      <c r="J3361" s="12" t="str">
        <f>HYPERLINK("https://www.boe.es/gazeta/dias/1804/11/13/pdfs/GMD-1804-91.pdf#page=6","Abrir facsímil")</f>
        <v>Abrir facsímil</v>
      </c>
      <c r="K3361" s="15" t="s">
        <v>22</v>
      </c>
    </row>
    <row r="3362" spans="1:11" ht="42" customHeight="1">
      <c r="A3362" s="4" t="s">
        <v>8019</v>
      </c>
      <c r="B3362" s="5" t="s">
        <v>8020</v>
      </c>
      <c r="C3362" s="5" t="s">
        <v>85</v>
      </c>
      <c r="D3362" s="5" t="s">
        <v>86</v>
      </c>
      <c r="E3362" s="5" t="s">
        <v>71</v>
      </c>
      <c r="F3362" s="9">
        <v>99</v>
      </c>
      <c r="G3362" s="9">
        <v>1107</v>
      </c>
      <c r="H3362" s="5" t="s">
        <v>20</v>
      </c>
      <c r="I3362" s="5" t="s">
        <v>8021</v>
      </c>
      <c r="J3362" s="12" t="str">
        <f>HYPERLINK("https://www.boe.es/gazeta/dias/1804/12/11/pdfs/GMD-1804-99.pdf#page=7","Abrir facsímil")</f>
        <v>Abrir facsímil</v>
      </c>
      <c r="K3362" s="15" t="s">
        <v>22</v>
      </c>
    </row>
    <row r="3363" spans="1:11" ht="42" customHeight="1">
      <c r="A3363" s="4" t="s">
        <v>8022</v>
      </c>
      <c r="B3363" s="5" t="s">
        <v>8023</v>
      </c>
      <c r="C3363" s="5" t="s">
        <v>27</v>
      </c>
      <c r="D3363" s="5" t="s">
        <v>28</v>
      </c>
      <c r="E3363" s="5" t="s">
        <v>140</v>
      </c>
      <c r="F3363" s="9">
        <v>39</v>
      </c>
      <c r="G3363" s="9">
        <v>428</v>
      </c>
      <c r="H3363" s="5" t="s">
        <v>20</v>
      </c>
      <c r="I3363" s="5" t="s">
        <v>8024</v>
      </c>
      <c r="J3363" s="12" t="str">
        <f>HYPERLINK("https://www.boe.es/gazeta/dias/1804/05/15/pdfs/GMD-1804-39.pdf#page=2","Abrir facsímil")</f>
        <v>Abrir facsímil</v>
      </c>
      <c r="K3363" s="15" t="s">
        <v>22</v>
      </c>
    </row>
    <row r="3364" spans="1:11" ht="42" customHeight="1">
      <c r="A3364" s="4" t="s">
        <v>8025</v>
      </c>
      <c r="B3364" s="5" t="s">
        <v>8026</v>
      </c>
      <c r="C3364" s="5" t="s">
        <v>17</v>
      </c>
      <c r="D3364" s="5" t="s">
        <v>18</v>
      </c>
      <c r="E3364" s="5" t="s">
        <v>388</v>
      </c>
      <c r="F3364" s="9">
        <v>18</v>
      </c>
      <c r="G3364" s="9">
        <v>198</v>
      </c>
      <c r="H3364" s="5" t="s">
        <v>20</v>
      </c>
      <c r="I3364" s="5" t="s">
        <v>8027</v>
      </c>
      <c r="J3364" s="12" t="str">
        <f>HYPERLINK("https://www.boe.es/gazeta/dias/1804/03/02/pdfs/GMD-1804-18.pdf#page=10","Abrir facsímil")</f>
        <v>Abrir facsímil</v>
      </c>
      <c r="K3364" s="15" t="s">
        <v>22</v>
      </c>
    </row>
    <row r="3365" spans="1:11" ht="42" customHeight="1">
      <c r="A3365" s="4" t="s">
        <v>8028</v>
      </c>
      <c r="B3365" s="5" t="s">
        <v>8029</v>
      </c>
      <c r="C3365" s="5" t="s">
        <v>65</v>
      </c>
      <c r="D3365" s="5" t="s">
        <v>66</v>
      </c>
      <c r="E3365" s="5" t="s">
        <v>216</v>
      </c>
      <c r="F3365" s="9">
        <v>67</v>
      </c>
      <c r="G3365" s="9">
        <v>750</v>
      </c>
      <c r="H3365" s="5" t="s">
        <v>20</v>
      </c>
      <c r="I3365" s="5" t="s">
        <v>8030</v>
      </c>
      <c r="J3365" s="12" t="str">
        <f>HYPERLINK("https://www.boe.es/gazeta/dias/1804/08/21/pdfs/GMD-1804-67.pdf#page=8","Abrir facsímil")</f>
        <v>Abrir facsímil</v>
      </c>
      <c r="K3365" s="15" t="s">
        <v>22</v>
      </c>
    </row>
    <row r="3366" spans="1:11" ht="42" customHeight="1">
      <c r="A3366" s="4" t="s">
        <v>8031</v>
      </c>
      <c r="B3366" s="5" t="s">
        <v>8032</v>
      </c>
      <c r="C3366" s="5" t="s">
        <v>27</v>
      </c>
      <c r="D3366" s="5" t="s">
        <v>28</v>
      </c>
      <c r="E3366" s="5" t="s">
        <v>50</v>
      </c>
      <c r="F3366" s="9">
        <v>93</v>
      </c>
      <c r="G3366" s="9">
        <v>1031</v>
      </c>
      <c r="H3366" s="5" t="s">
        <v>20</v>
      </c>
      <c r="I3366" s="5" t="s">
        <v>8033</v>
      </c>
      <c r="J3366" s="12" t="str">
        <f>HYPERLINK("https://www.boe.es/gazeta/dias/1804/11/20/pdfs/GMD-1804-93.pdf#page=7","Abrir facsímil")</f>
        <v>Abrir facsímil</v>
      </c>
      <c r="K3366" s="15" t="s">
        <v>22</v>
      </c>
    </row>
    <row r="3367" spans="1:11" ht="42" customHeight="1">
      <c r="A3367" s="4" t="s">
        <v>8034</v>
      </c>
      <c r="B3367" s="5" t="s">
        <v>8035</v>
      </c>
      <c r="C3367" s="5" t="s">
        <v>85</v>
      </c>
      <c r="D3367" s="5" t="s">
        <v>86</v>
      </c>
      <c r="E3367" s="5" t="s">
        <v>326</v>
      </c>
      <c r="F3367" s="9">
        <v>69</v>
      </c>
      <c r="G3367" s="9">
        <v>776</v>
      </c>
      <c r="H3367" s="5" t="s">
        <v>20</v>
      </c>
      <c r="I3367" s="5" t="s">
        <v>8036</v>
      </c>
      <c r="J3367" s="12" t="str">
        <f>HYPERLINK("https://www.boe.es/gazeta/dias/1804/08/28/pdfs/GMD-1804-69.pdf#page=10","Abrir facsímil")</f>
        <v>Abrir facsímil</v>
      </c>
      <c r="K3367" s="15" t="s">
        <v>22</v>
      </c>
    </row>
    <row r="3368" spans="1:11" ht="42" customHeight="1">
      <c r="A3368" s="4" t="s">
        <v>8037</v>
      </c>
      <c r="B3368" s="5" t="s">
        <v>8038</v>
      </c>
      <c r="C3368" s="5" t="s">
        <v>27</v>
      </c>
      <c r="D3368" s="5" t="s">
        <v>28</v>
      </c>
      <c r="E3368" s="5" t="s">
        <v>75</v>
      </c>
      <c r="F3368" s="9">
        <v>16</v>
      </c>
      <c r="G3368" s="9">
        <v>173</v>
      </c>
      <c r="H3368" s="5" t="s">
        <v>20</v>
      </c>
      <c r="I3368" s="5" t="s">
        <v>8039</v>
      </c>
      <c r="J3368" s="12" t="str">
        <f>HYPERLINK("https://www.boe.es/gazeta/dias/1804/02/24/pdfs/GMD-1804-16.pdf#page=9","Abrir facsímil")</f>
        <v>Abrir facsímil</v>
      </c>
      <c r="K3368" s="15" t="s">
        <v>22</v>
      </c>
    </row>
    <row r="3369" spans="1:11" ht="42" customHeight="1">
      <c r="A3369" s="4" t="s">
        <v>8040</v>
      </c>
      <c r="B3369" s="5" t="s">
        <v>8041</v>
      </c>
      <c r="C3369" s="5" t="s">
        <v>17</v>
      </c>
      <c r="D3369" s="5" t="s">
        <v>18</v>
      </c>
      <c r="E3369" s="5" t="s">
        <v>71</v>
      </c>
      <c r="F3369" s="9">
        <v>99</v>
      </c>
      <c r="G3369" s="9">
        <v>1106</v>
      </c>
      <c r="H3369" s="5" t="s">
        <v>20</v>
      </c>
      <c r="I3369" s="5" t="s">
        <v>8042</v>
      </c>
      <c r="J3369" s="12" t="str">
        <f>HYPERLINK("https://www.boe.es/gazeta/dias/1804/12/11/pdfs/GMD-1804-99.pdf#page=6","Abrir facsímil")</f>
        <v>Abrir facsímil</v>
      </c>
      <c r="K3369" s="15" t="s">
        <v>22</v>
      </c>
    </row>
    <row r="3370" spans="1:11" ht="42" customHeight="1">
      <c r="A3370" s="4" t="s">
        <v>8043</v>
      </c>
      <c r="B3370" s="5" t="s">
        <v>8044</v>
      </c>
      <c r="C3370" s="5" t="s">
        <v>65</v>
      </c>
      <c r="D3370" s="5" t="s">
        <v>66</v>
      </c>
      <c r="E3370" s="5" t="s">
        <v>241</v>
      </c>
      <c r="F3370" s="9">
        <v>71</v>
      </c>
      <c r="G3370" s="9">
        <v>791</v>
      </c>
      <c r="H3370" s="5" t="s">
        <v>20</v>
      </c>
      <c r="I3370" s="5" t="s">
        <v>8045</v>
      </c>
      <c r="J3370" s="12" t="str">
        <f>HYPERLINK("https://www.boe.es/gazeta/dias/1804/09/04/pdfs/GMD-1804-71.pdf#page=5","Abrir facsímil")</f>
        <v>Abrir facsímil</v>
      </c>
      <c r="K3370" s="15" t="s">
        <v>22</v>
      </c>
    </row>
    <row r="3371" spans="1:11" ht="42" customHeight="1">
      <c r="A3371" s="4" t="s">
        <v>8046</v>
      </c>
      <c r="B3371" s="5" t="s">
        <v>8047</v>
      </c>
      <c r="C3371" s="5" t="s">
        <v>57</v>
      </c>
      <c r="D3371" s="5" t="s">
        <v>58</v>
      </c>
      <c r="E3371" s="5" t="s">
        <v>251</v>
      </c>
      <c r="F3371" s="9">
        <v>79</v>
      </c>
      <c r="G3371" s="9">
        <v>873</v>
      </c>
      <c r="H3371" s="5" t="s">
        <v>20</v>
      </c>
      <c r="I3371" s="5" t="s">
        <v>8048</v>
      </c>
      <c r="J3371" s="12" t="str">
        <f>HYPERLINK("https://www.boe.es/gazeta/dias/1804/10/02/pdfs/GMD-1804-79.pdf#page=3","Abrir facsímil")</f>
        <v>Abrir facsímil</v>
      </c>
      <c r="K3371" s="15" t="s">
        <v>22</v>
      </c>
    </row>
    <row r="3372" spans="1:11" ht="42" customHeight="1">
      <c r="A3372" s="4" t="s">
        <v>8049</v>
      </c>
      <c r="B3372" s="5" t="s">
        <v>8050</v>
      </c>
      <c r="C3372" s="5" t="s">
        <v>17</v>
      </c>
      <c r="D3372" s="5" t="s">
        <v>18</v>
      </c>
      <c r="E3372" s="5" t="s">
        <v>71</v>
      </c>
      <c r="F3372" s="9">
        <v>99</v>
      </c>
      <c r="G3372" s="9">
        <v>1106</v>
      </c>
      <c r="H3372" s="5" t="s">
        <v>20</v>
      </c>
      <c r="I3372" s="5" t="s">
        <v>8051</v>
      </c>
      <c r="J3372" s="12" t="str">
        <f>HYPERLINK("https://www.boe.es/gazeta/dias/1804/12/11/pdfs/GMD-1804-99.pdf#page=6","Abrir facsímil")</f>
        <v>Abrir facsímil</v>
      </c>
      <c r="K3372" s="15" t="s">
        <v>22</v>
      </c>
    </row>
    <row r="3373" spans="1:11" ht="42" customHeight="1">
      <c r="A3373" s="4" t="s">
        <v>8052</v>
      </c>
      <c r="B3373" s="5" t="s">
        <v>8052</v>
      </c>
      <c r="C3373" s="5" t="s">
        <v>27</v>
      </c>
      <c r="D3373" s="5" t="s">
        <v>28</v>
      </c>
      <c r="E3373" s="5" t="s">
        <v>175</v>
      </c>
      <c r="F3373" s="9">
        <v>58</v>
      </c>
      <c r="G3373" s="9">
        <v>642</v>
      </c>
      <c r="H3373" s="5" t="s">
        <v>20</v>
      </c>
      <c r="I3373" s="5" t="s">
        <v>8053</v>
      </c>
      <c r="J3373" s="12" t="str">
        <f>HYPERLINK("https://www.boe.es/gazeta/dias/1804/07/20/pdfs/GMD-1804-58.pdf#page=8","Abrir facsímil")</f>
        <v>Abrir facsímil</v>
      </c>
      <c r="K3373" s="15" t="s">
        <v>22</v>
      </c>
    </row>
    <row r="3374" spans="1:11" ht="42" customHeight="1">
      <c r="A3374" s="4" t="s">
        <v>8054</v>
      </c>
      <c r="B3374" s="5" t="s">
        <v>8055</v>
      </c>
      <c r="C3374" s="5" t="s">
        <v>57</v>
      </c>
      <c r="D3374" s="5" t="s">
        <v>58</v>
      </c>
      <c r="E3374" s="5" t="s">
        <v>736</v>
      </c>
      <c r="F3374" s="9">
        <v>83</v>
      </c>
      <c r="G3374" s="9">
        <v>913</v>
      </c>
      <c r="H3374" s="5" t="s">
        <v>20</v>
      </c>
      <c r="I3374" s="5" t="s">
        <v>8056</v>
      </c>
      <c r="J3374" s="12" t="str">
        <f>HYPERLINK("https://www.boe.es/gazeta/dias/1804/10/16/pdfs/GMD-1804-83.pdf#page=3","Abrir facsímil")</f>
        <v>Abrir facsímil</v>
      </c>
      <c r="K3374" s="15" t="s">
        <v>22</v>
      </c>
    </row>
    <row r="3375" spans="1:11" ht="42" customHeight="1">
      <c r="A3375" s="4" t="s">
        <v>8057</v>
      </c>
      <c r="B3375" s="5" t="s">
        <v>8058</v>
      </c>
      <c r="C3375" s="5" t="s">
        <v>27</v>
      </c>
      <c r="D3375" s="5" t="s">
        <v>28</v>
      </c>
      <c r="E3375" s="5" t="s">
        <v>163</v>
      </c>
      <c r="F3375" s="9">
        <v>70</v>
      </c>
      <c r="G3375" s="9">
        <v>782</v>
      </c>
      <c r="H3375" s="5" t="s">
        <v>20</v>
      </c>
      <c r="I3375" s="5" t="s">
        <v>8059</v>
      </c>
      <c r="J3375" s="12" t="str">
        <f>HYPERLINK("https://www.boe.es/gazeta/dias/1804/08/31/pdfs/GMD-1804-70.pdf#page=4","Abrir facsímil")</f>
        <v>Abrir facsímil</v>
      </c>
      <c r="K3375" s="15" t="s">
        <v>22</v>
      </c>
    </row>
    <row r="3376" spans="1:11" ht="42" customHeight="1">
      <c r="A3376" s="4" t="s">
        <v>8060</v>
      </c>
      <c r="B3376" s="5" t="s">
        <v>8061</v>
      </c>
      <c r="C3376" s="5" t="s">
        <v>85</v>
      </c>
      <c r="D3376" s="5" t="s">
        <v>86</v>
      </c>
      <c r="E3376" s="5" t="s">
        <v>241</v>
      </c>
      <c r="F3376" s="9">
        <v>71</v>
      </c>
      <c r="G3376" s="9">
        <v>794</v>
      </c>
      <c r="H3376" s="5" t="s">
        <v>20</v>
      </c>
      <c r="I3376" s="5" t="s">
        <v>8062</v>
      </c>
      <c r="J3376" s="12" t="str">
        <f>HYPERLINK("https://www.boe.es/gazeta/dias/1804/09/04/pdfs/GMD-1804-71.pdf#page=8","Abrir facsímil")</f>
        <v>Abrir facsímil</v>
      </c>
      <c r="K3376" s="15" t="s">
        <v>22</v>
      </c>
    </row>
    <row r="3377" spans="1:11" ht="42" customHeight="1">
      <c r="A3377" s="4" t="s">
        <v>8063</v>
      </c>
      <c r="B3377" s="5" t="s">
        <v>8063</v>
      </c>
      <c r="C3377" s="5" t="s">
        <v>57</v>
      </c>
      <c r="D3377" s="5" t="s">
        <v>58</v>
      </c>
      <c r="E3377" s="5" t="s">
        <v>41</v>
      </c>
      <c r="F3377" s="9">
        <v>24</v>
      </c>
      <c r="G3377" s="9">
        <v>271</v>
      </c>
      <c r="H3377" s="5" t="s">
        <v>20</v>
      </c>
      <c r="I3377" s="5" t="s">
        <v>8064</v>
      </c>
      <c r="J3377" s="12" t="str">
        <f>HYPERLINK("https://www.boe.es/gazeta/dias/1804/03/23/pdfs/GMD-1804-24.pdf#page=5","Abrir facsímil")</f>
        <v>Abrir facsímil</v>
      </c>
      <c r="K3377" s="15" t="s">
        <v>22</v>
      </c>
    </row>
    <row r="3378" spans="1:11" ht="42" customHeight="1">
      <c r="A3378" s="4" t="s">
        <v>8065</v>
      </c>
      <c r="B3378" s="5" t="s">
        <v>8065</v>
      </c>
      <c r="C3378" s="5" t="s">
        <v>57</v>
      </c>
      <c r="D3378" s="5" t="s">
        <v>58</v>
      </c>
      <c r="E3378" s="5" t="s">
        <v>77</v>
      </c>
      <c r="F3378" s="9">
        <v>32</v>
      </c>
      <c r="G3378" s="9">
        <v>350</v>
      </c>
      <c r="H3378" s="5" t="s">
        <v>20</v>
      </c>
      <c r="I3378" s="5" t="s">
        <v>8066</v>
      </c>
      <c r="J3378" s="12" t="str">
        <f>HYPERLINK("https://www.boe.es/gazeta/dias/1804/04/20/pdfs/GMD-1804-32.pdf#page=4","Abrir facsímil")</f>
        <v>Abrir facsímil</v>
      </c>
      <c r="K3378" s="15" t="s">
        <v>22</v>
      </c>
    </row>
    <row r="3379" spans="1:11" ht="42" customHeight="1">
      <c r="A3379" s="4" t="s">
        <v>8067</v>
      </c>
      <c r="B3379" s="5" t="s">
        <v>8067</v>
      </c>
      <c r="C3379" s="5" t="s">
        <v>57</v>
      </c>
      <c r="D3379" s="5" t="s">
        <v>58</v>
      </c>
      <c r="E3379" s="5" t="s">
        <v>298</v>
      </c>
      <c r="F3379" s="9">
        <v>10</v>
      </c>
      <c r="G3379" s="9">
        <v>105</v>
      </c>
      <c r="H3379" s="5" t="s">
        <v>20</v>
      </c>
      <c r="I3379" s="5" t="s">
        <v>8068</v>
      </c>
      <c r="J3379" s="12" t="str">
        <f>HYPERLINK("https://www.boe.es/gazeta/dias/1804/02/03/pdfs/GMD-1804-10.pdf#page=5","Abrir facsímil")</f>
        <v>Abrir facsímil</v>
      </c>
      <c r="K3379" s="15" t="s">
        <v>22</v>
      </c>
    </row>
    <row r="3380" spans="1:11" ht="42" customHeight="1">
      <c r="A3380" s="4" t="s">
        <v>8069</v>
      </c>
      <c r="B3380" s="5" t="s">
        <v>8069</v>
      </c>
      <c r="C3380" s="5" t="s">
        <v>120</v>
      </c>
      <c r="D3380" s="5" t="s">
        <v>121</v>
      </c>
      <c r="E3380" s="5" t="s">
        <v>33</v>
      </c>
      <c r="F3380" s="9">
        <v>48</v>
      </c>
      <c r="G3380" s="9" t="s">
        <v>98</v>
      </c>
      <c r="H3380" s="5" t="s">
        <v>20</v>
      </c>
      <c r="I3380" s="5" t="s">
        <v>8070</v>
      </c>
      <c r="J3380" s="12" t="str">
        <f>HYPERLINK("https://www.boe.es/gazeta/dias/1804/06/15/pdfs/GMD-C-1804-48.pdf#page=1","Abrir facsímil")</f>
        <v>Abrir facsímil</v>
      </c>
      <c r="K3380" s="15" t="s">
        <v>22</v>
      </c>
    </row>
    <row r="3381" spans="1:11" ht="42" customHeight="1">
      <c r="A3381" s="4" t="s">
        <v>8071</v>
      </c>
      <c r="B3381" s="5" t="s">
        <v>8072</v>
      </c>
      <c r="C3381" s="5" t="s">
        <v>17</v>
      </c>
      <c r="D3381" s="5" t="s">
        <v>18</v>
      </c>
      <c r="E3381" s="5" t="s">
        <v>37</v>
      </c>
      <c r="F3381" s="9">
        <v>29</v>
      </c>
      <c r="G3381" s="9">
        <v>318</v>
      </c>
      <c r="H3381" s="5" t="s">
        <v>20</v>
      </c>
      <c r="I3381" s="5" t="s">
        <v>8073</v>
      </c>
      <c r="J3381" s="12" t="str">
        <f>HYPERLINK("https://www.boe.es/gazeta/dias/1804/04/10/pdfs/GMD-1804-29.pdf#page=8","Abrir facsímil")</f>
        <v>Abrir facsímil</v>
      </c>
      <c r="K3381" s="15" t="s">
        <v>22</v>
      </c>
    </row>
    <row r="3382" spans="1:11" ht="42" customHeight="1">
      <c r="A3382" s="4" t="s">
        <v>8074</v>
      </c>
      <c r="B3382" s="5" t="s">
        <v>8074</v>
      </c>
      <c r="C3382" s="5" t="s">
        <v>65</v>
      </c>
      <c r="D3382" s="5" t="s">
        <v>66</v>
      </c>
      <c r="E3382" s="5" t="s">
        <v>19</v>
      </c>
      <c r="F3382" s="9">
        <v>60</v>
      </c>
      <c r="G3382" s="9">
        <v>669</v>
      </c>
      <c r="H3382" s="5" t="s">
        <v>20</v>
      </c>
      <c r="I3382" s="5" t="s">
        <v>8075</v>
      </c>
      <c r="J3382" s="12" t="str">
        <f>HYPERLINK("https://www.boe.es/gazeta/dias/1804/07/27/pdfs/GMD-1804-60.pdf#page=11","Abrir facsímil")</f>
        <v>Abrir facsímil</v>
      </c>
      <c r="K3382" s="15" t="s">
        <v>22</v>
      </c>
    </row>
    <row r="3383" spans="1:11" ht="42" customHeight="1">
      <c r="A3383" s="4" t="s">
        <v>8076</v>
      </c>
      <c r="B3383" s="5" t="s">
        <v>8077</v>
      </c>
      <c r="C3383" s="5" t="s">
        <v>27</v>
      </c>
      <c r="D3383" s="5" t="s">
        <v>28</v>
      </c>
      <c r="E3383" s="5" t="s">
        <v>272</v>
      </c>
      <c r="F3383" s="9">
        <v>30</v>
      </c>
      <c r="G3383" s="9">
        <v>330</v>
      </c>
      <c r="H3383" s="5" t="s">
        <v>20</v>
      </c>
      <c r="I3383" s="5" t="s">
        <v>8078</v>
      </c>
      <c r="J3383" s="12" t="str">
        <f>HYPERLINK("https://www.boe.es/gazeta/dias/1804/04/13/pdfs/GMD-1804-30.pdf#page=8","Abrir facsímil")</f>
        <v>Abrir facsímil</v>
      </c>
      <c r="K3383" s="15" t="s">
        <v>22</v>
      </c>
    </row>
    <row r="3384" spans="1:11" ht="42" customHeight="1">
      <c r="A3384" s="4" t="s">
        <v>8079</v>
      </c>
      <c r="B3384" s="5" t="s">
        <v>8079</v>
      </c>
      <c r="C3384" s="5" t="s">
        <v>17</v>
      </c>
      <c r="D3384" s="5" t="s">
        <v>18</v>
      </c>
      <c r="E3384" s="5" t="s">
        <v>587</v>
      </c>
      <c r="F3384" s="9">
        <v>62</v>
      </c>
      <c r="G3384" s="9">
        <v>687</v>
      </c>
      <c r="H3384" s="5" t="s">
        <v>20</v>
      </c>
      <c r="I3384" s="5" t="s">
        <v>8080</v>
      </c>
      <c r="J3384" s="12" t="str">
        <f>HYPERLINK("https://www.boe.es/gazeta/dias/1804/08/03/pdfs/GMD-1804-62.pdf#page=9","Abrir facsímil")</f>
        <v>Abrir facsímil</v>
      </c>
      <c r="K3384" s="15" t="s">
        <v>22</v>
      </c>
    </row>
    <row r="3385" spans="1:11" ht="42" customHeight="1">
      <c r="A3385" s="4" t="s">
        <v>8081</v>
      </c>
      <c r="B3385" s="5" t="s">
        <v>8082</v>
      </c>
      <c r="C3385" s="5" t="s">
        <v>27</v>
      </c>
      <c r="D3385" s="5" t="s">
        <v>28</v>
      </c>
      <c r="E3385" s="5" t="s">
        <v>81</v>
      </c>
      <c r="F3385" s="9">
        <v>98</v>
      </c>
      <c r="G3385" s="9">
        <v>1088</v>
      </c>
      <c r="H3385" s="5" t="s">
        <v>20</v>
      </c>
      <c r="I3385" s="5" t="s">
        <v>8083</v>
      </c>
      <c r="J3385" s="12" t="str">
        <f>HYPERLINK("https://www.boe.es/gazeta/dias/1804/12/07/pdfs/GMD-1804-98.pdf#page=4","Abrir facsímil")</f>
        <v>Abrir facsímil</v>
      </c>
      <c r="K3385" s="15" t="s">
        <v>22</v>
      </c>
    </row>
    <row r="3386" spans="1:11" ht="42" customHeight="1">
      <c r="A3386" s="4" t="s">
        <v>8084</v>
      </c>
      <c r="B3386" s="5" t="s">
        <v>8084</v>
      </c>
      <c r="C3386" s="5" t="s">
        <v>27</v>
      </c>
      <c r="D3386" s="5" t="s">
        <v>28</v>
      </c>
      <c r="E3386" s="5" t="s">
        <v>71</v>
      </c>
      <c r="F3386" s="9">
        <v>99</v>
      </c>
      <c r="G3386" s="9">
        <v>1106</v>
      </c>
      <c r="H3386" s="5" t="s">
        <v>20</v>
      </c>
      <c r="I3386" s="5" t="s">
        <v>8085</v>
      </c>
      <c r="J3386" s="12" t="str">
        <f>HYPERLINK("https://www.boe.es/gazeta/dias/1804/12/11/pdfs/GMD-1804-99.pdf#page=6","Abrir facsímil")</f>
        <v>Abrir facsímil</v>
      </c>
      <c r="K3386" s="15" t="s">
        <v>22</v>
      </c>
    </row>
    <row r="3387" spans="1:11" ht="42" customHeight="1">
      <c r="A3387" s="4" t="s">
        <v>8086</v>
      </c>
      <c r="B3387" s="5" t="s">
        <v>8087</v>
      </c>
      <c r="C3387" s="5" t="s">
        <v>65</v>
      </c>
      <c r="D3387" s="5" t="s">
        <v>66</v>
      </c>
      <c r="E3387" s="5" t="s">
        <v>163</v>
      </c>
      <c r="F3387" s="9">
        <v>70</v>
      </c>
      <c r="G3387" s="9">
        <v>784</v>
      </c>
      <c r="H3387" s="5" t="s">
        <v>20</v>
      </c>
      <c r="I3387" s="5" t="s">
        <v>8088</v>
      </c>
      <c r="J3387" s="12" t="str">
        <f>HYPERLINK("https://www.boe.es/gazeta/dias/1804/08/31/pdfs/GMD-1804-70.pdf#page=6","Abrir facsímil")</f>
        <v>Abrir facsímil</v>
      </c>
      <c r="K3387" s="15" t="s">
        <v>22</v>
      </c>
    </row>
    <row r="3388" spans="1:11" ht="42" customHeight="1">
      <c r="A3388" s="4" t="s">
        <v>8089</v>
      </c>
      <c r="B3388" s="5" t="s">
        <v>8089</v>
      </c>
      <c r="C3388" s="5" t="s">
        <v>198</v>
      </c>
      <c r="D3388" s="5" t="s">
        <v>66</v>
      </c>
      <c r="E3388" s="5" t="s">
        <v>234</v>
      </c>
      <c r="F3388" s="9">
        <v>86</v>
      </c>
      <c r="G3388" s="9">
        <v>948</v>
      </c>
      <c r="H3388" s="5" t="s">
        <v>20</v>
      </c>
      <c r="I3388" s="5" t="s">
        <v>8090</v>
      </c>
      <c r="J3388" s="12" t="str">
        <f>HYPERLINK("https://www.boe.es/gazeta/dias/1804/10/26/pdfs/GMD-1804-86.pdf#page=6","Abrir facsímil")</f>
        <v>Abrir facsímil</v>
      </c>
      <c r="K3388" s="15" t="s">
        <v>22</v>
      </c>
    </row>
    <row r="3389" spans="1:11" ht="42" customHeight="1">
      <c r="A3389" s="4" t="s">
        <v>8091</v>
      </c>
      <c r="B3389" s="5" t="s">
        <v>8091</v>
      </c>
      <c r="C3389" s="5" t="s">
        <v>27</v>
      </c>
      <c r="D3389" s="5" t="s">
        <v>28</v>
      </c>
      <c r="E3389" s="5" t="s">
        <v>950</v>
      </c>
      <c r="F3389" s="9">
        <v>90</v>
      </c>
      <c r="G3389" s="9">
        <v>999</v>
      </c>
      <c r="H3389" s="5" t="s">
        <v>20</v>
      </c>
      <c r="I3389" s="5" t="s">
        <v>8092</v>
      </c>
      <c r="J3389" s="12" t="str">
        <f>HYPERLINK("https://www.boe.es/gazeta/dias/1804/11/09/pdfs/GMD-1804-90.pdf#page=7","Abrir facsímil")</f>
        <v>Abrir facsímil</v>
      </c>
      <c r="K3389" s="15" t="s">
        <v>22</v>
      </c>
    </row>
    <row r="3390" spans="1:11" ht="42" customHeight="1">
      <c r="A3390" s="4" t="s">
        <v>8093</v>
      </c>
      <c r="B3390" s="5" t="s">
        <v>8093</v>
      </c>
      <c r="C3390" s="5" t="s">
        <v>27</v>
      </c>
      <c r="D3390" s="5" t="s">
        <v>28</v>
      </c>
      <c r="E3390" s="5" t="s">
        <v>427</v>
      </c>
      <c r="F3390" s="9">
        <v>80</v>
      </c>
      <c r="G3390" s="9">
        <v>889</v>
      </c>
      <c r="H3390" s="5" t="s">
        <v>20</v>
      </c>
      <c r="I3390" s="5" t="s">
        <v>8094</v>
      </c>
      <c r="J3390" s="12" t="str">
        <f>HYPERLINK("https://www.boe.es/gazeta/dias/1804/10/05/pdfs/GMD-1804-80.pdf#page=7","Abrir facsímil")</f>
        <v>Abrir facsímil</v>
      </c>
      <c r="K3390" s="15" t="s">
        <v>22</v>
      </c>
    </row>
    <row r="3391" spans="1:11" ht="42" customHeight="1">
      <c r="A3391" s="4" t="s">
        <v>8095</v>
      </c>
      <c r="B3391" s="5" t="s">
        <v>8096</v>
      </c>
      <c r="C3391" s="5" t="s">
        <v>27</v>
      </c>
      <c r="D3391" s="5" t="s">
        <v>28</v>
      </c>
      <c r="E3391" s="5" t="s">
        <v>251</v>
      </c>
      <c r="F3391" s="9">
        <v>79</v>
      </c>
      <c r="G3391" s="9">
        <v>879</v>
      </c>
      <c r="H3391" s="5" t="s">
        <v>20</v>
      </c>
      <c r="I3391" s="5" t="s">
        <v>8097</v>
      </c>
      <c r="J3391" s="12" t="str">
        <f>HYPERLINK("https://www.boe.es/gazeta/dias/1804/10/02/pdfs/GMD-1804-79.pdf#page=9","Abrir facsímil")</f>
        <v>Abrir facsímil</v>
      </c>
      <c r="K3391" s="15" t="s">
        <v>22</v>
      </c>
    </row>
    <row r="3392" spans="1:11" ht="42" customHeight="1">
      <c r="A3392" s="4" t="s">
        <v>8098</v>
      </c>
      <c r="B3392" s="5" t="s">
        <v>8099</v>
      </c>
      <c r="C3392" s="5" t="s">
        <v>27</v>
      </c>
      <c r="D3392" s="5" t="s">
        <v>28</v>
      </c>
      <c r="E3392" s="5" t="s">
        <v>245</v>
      </c>
      <c r="F3392" s="9">
        <v>6</v>
      </c>
      <c r="G3392" s="9">
        <v>55</v>
      </c>
      <c r="H3392" s="5" t="s">
        <v>20</v>
      </c>
      <c r="I3392" s="5" t="s">
        <v>8100</v>
      </c>
      <c r="J3392" s="12" t="str">
        <f>HYPERLINK("https://www.boe.es/gazeta/dias/1804/01/20/pdfs/GMD-1804-6.pdf#page=7","Abrir facsímil")</f>
        <v>Abrir facsímil</v>
      </c>
      <c r="K3392" s="15" t="s">
        <v>22</v>
      </c>
    </row>
    <row r="3393" spans="1:11" ht="42" customHeight="1">
      <c r="A3393" s="4" t="s">
        <v>8101</v>
      </c>
      <c r="B3393" s="5" t="s">
        <v>8102</v>
      </c>
      <c r="C3393" s="5" t="s">
        <v>17</v>
      </c>
      <c r="D3393" s="5" t="s">
        <v>18</v>
      </c>
      <c r="E3393" s="5" t="s">
        <v>71</v>
      </c>
      <c r="F3393" s="9">
        <v>99</v>
      </c>
      <c r="G3393" s="9">
        <v>1107</v>
      </c>
      <c r="H3393" s="5" t="s">
        <v>20</v>
      </c>
      <c r="I3393" s="5" t="s">
        <v>8103</v>
      </c>
      <c r="J3393" s="12" t="str">
        <f>HYPERLINK("https://www.boe.es/gazeta/dias/1804/12/11/pdfs/GMD-1804-99.pdf#page=7","Abrir facsímil")</f>
        <v>Abrir facsímil</v>
      </c>
      <c r="K3393" s="15" t="s">
        <v>22</v>
      </c>
    </row>
    <row r="3394" spans="1:11" ht="42" customHeight="1">
      <c r="A3394" s="4" t="s">
        <v>8104</v>
      </c>
      <c r="B3394" s="5" t="s">
        <v>8105</v>
      </c>
      <c r="C3394" s="5" t="s">
        <v>57</v>
      </c>
      <c r="D3394" s="5" t="s">
        <v>58</v>
      </c>
      <c r="E3394" s="5" t="s">
        <v>302</v>
      </c>
      <c r="F3394" s="9">
        <v>3</v>
      </c>
      <c r="G3394" s="9">
        <v>23</v>
      </c>
      <c r="H3394" s="5" t="s">
        <v>20</v>
      </c>
      <c r="I3394" s="5" t="s">
        <v>8106</v>
      </c>
      <c r="J3394" s="12" t="str">
        <f>HYPERLINK("https://www.boe.es/gazeta/dias/1804/01/10/pdfs/GMD-1804-3.pdf#page=3","Abrir facsímil")</f>
        <v>Abrir facsímil</v>
      </c>
      <c r="K3394" s="15" t="s">
        <v>22</v>
      </c>
    </row>
    <row r="3395" spans="1:11" ht="42" customHeight="1">
      <c r="A3395" s="4" t="s">
        <v>8107</v>
      </c>
      <c r="B3395" s="5" t="s">
        <v>8108</v>
      </c>
      <c r="C3395" s="5" t="s">
        <v>57</v>
      </c>
      <c r="D3395" s="5" t="s">
        <v>58</v>
      </c>
      <c r="E3395" s="5" t="s">
        <v>479</v>
      </c>
      <c r="F3395" s="9">
        <v>5</v>
      </c>
      <c r="G3395" s="9">
        <v>45</v>
      </c>
      <c r="H3395" s="5" t="s">
        <v>20</v>
      </c>
      <c r="I3395" s="5" t="s">
        <v>8109</v>
      </c>
      <c r="J3395" s="12" t="str">
        <f>HYPERLINK("https://www.boe.es/gazeta/dias/1804/01/17/pdfs/GMD-1804-5.pdf#page=5","Abrir facsímil")</f>
        <v>Abrir facsímil</v>
      </c>
      <c r="K3395" s="15" t="s">
        <v>22</v>
      </c>
    </row>
    <row r="3396" spans="1:11" ht="42" customHeight="1">
      <c r="A3396" s="4" t="s">
        <v>8107</v>
      </c>
      <c r="B3396" s="5" t="s">
        <v>8108</v>
      </c>
      <c r="C3396" s="5" t="s">
        <v>57</v>
      </c>
      <c r="D3396" s="5" t="s">
        <v>58</v>
      </c>
      <c r="E3396" s="5" t="s">
        <v>857</v>
      </c>
      <c r="F3396" s="9">
        <v>28</v>
      </c>
      <c r="G3396" s="9">
        <v>305</v>
      </c>
      <c r="H3396" s="5" t="s">
        <v>20</v>
      </c>
      <c r="I3396" s="5" t="s">
        <v>8110</v>
      </c>
      <c r="J3396" s="12" t="str">
        <f>HYPERLINK("https://www.boe.es/gazeta/dias/1804/04/06/pdfs/GMD-1804-28.pdf#page=3","Abrir facsímil")</f>
        <v>Abrir facsímil</v>
      </c>
      <c r="K3396" s="15" t="s">
        <v>22</v>
      </c>
    </row>
    <row r="3397" spans="1:11" ht="42" customHeight="1">
      <c r="A3397" s="4" t="s">
        <v>8111</v>
      </c>
      <c r="B3397" s="5" t="s">
        <v>8111</v>
      </c>
      <c r="C3397" s="5" t="s">
        <v>57</v>
      </c>
      <c r="D3397" s="5" t="s">
        <v>58</v>
      </c>
      <c r="E3397" s="5" t="s">
        <v>251</v>
      </c>
      <c r="F3397" s="9">
        <v>79</v>
      </c>
      <c r="G3397" s="9">
        <v>877</v>
      </c>
      <c r="H3397" s="5" t="s">
        <v>20</v>
      </c>
      <c r="I3397" s="5" t="s">
        <v>8112</v>
      </c>
      <c r="J3397" s="12" t="str">
        <f>HYPERLINK("https://www.boe.es/gazeta/dias/1804/10/02/pdfs/GMD-1804-79.pdf#page=7","Abrir facsímil")</f>
        <v>Abrir facsímil</v>
      </c>
      <c r="K3397" s="15" t="s">
        <v>22</v>
      </c>
    </row>
    <row r="3398" spans="1:11" ht="42" customHeight="1">
      <c r="A3398" s="4" t="s">
        <v>8113</v>
      </c>
      <c r="B3398" s="5" t="s">
        <v>8113</v>
      </c>
      <c r="C3398" s="5" t="s">
        <v>27</v>
      </c>
      <c r="D3398" s="5" t="s">
        <v>28</v>
      </c>
      <c r="E3398" s="5" t="s">
        <v>704</v>
      </c>
      <c r="F3398" s="9">
        <v>36</v>
      </c>
      <c r="G3398" s="9">
        <v>402</v>
      </c>
      <c r="H3398" s="5" t="s">
        <v>20</v>
      </c>
      <c r="I3398" s="5" t="s">
        <v>8114</v>
      </c>
      <c r="J3398" s="12" t="str">
        <f>HYPERLINK("https://www.boe.es/gazeta/dias/1804/05/04/pdfs/GMD-1804-36.pdf#page=12","Abrir facsímil")</f>
        <v>Abrir facsímil</v>
      </c>
      <c r="K3398" s="15" t="s">
        <v>22</v>
      </c>
    </row>
    <row r="3399" spans="1:11" ht="42" customHeight="1">
      <c r="A3399" s="4" t="s">
        <v>8115</v>
      </c>
      <c r="B3399" s="5" t="s">
        <v>8116</v>
      </c>
      <c r="C3399" s="5" t="s">
        <v>27</v>
      </c>
      <c r="D3399" s="5" t="s">
        <v>28</v>
      </c>
      <c r="E3399" s="5" t="s">
        <v>350</v>
      </c>
      <c r="F3399" s="9">
        <v>19</v>
      </c>
      <c r="G3399" s="9">
        <v>209</v>
      </c>
      <c r="H3399" s="5" t="s">
        <v>20</v>
      </c>
      <c r="I3399" s="5" t="s">
        <v>8117</v>
      </c>
      <c r="J3399" s="12" t="str">
        <f>HYPERLINK("https://www.boe.es/gazeta/dias/1804/03/06/pdfs/GMD-1804-19.pdf#page=9","Abrir facsímil")</f>
        <v>Abrir facsímil</v>
      </c>
      <c r="K3399" s="15" t="s">
        <v>22</v>
      </c>
    </row>
    <row r="3400" spans="1:11" ht="42" customHeight="1">
      <c r="A3400" s="4" t="s">
        <v>8118</v>
      </c>
      <c r="B3400" s="5" t="s">
        <v>8119</v>
      </c>
      <c r="C3400" s="5" t="s">
        <v>57</v>
      </c>
      <c r="D3400" s="5" t="s">
        <v>58</v>
      </c>
      <c r="E3400" s="5" t="s">
        <v>230</v>
      </c>
      <c r="F3400" s="9">
        <v>26</v>
      </c>
      <c r="G3400" s="9">
        <v>292</v>
      </c>
      <c r="H3400" s="5" t="s">
        <v>20</v>
      </c>
      <c r="I3400" s="5" t="s">
        <v>8120</v>
      </c>
      <c r="J3400" s="12" t="str">
        <f>HYPERLINK("https://www.boe.es/gazeta/dias/1804/03/30/pdfs/GMD-1804-26.pdf#page=6","Abrir facsímil")</f>
        <v>Abrir facsímil</v>
      </c>
      <c r="K3400" s="15" t="s">
        <v>22</v>
      </c>
    </row>
    <row r="3401" spans="1:11" ht="42" customHeight="1">
      <c r="A3401" s="4" t="s">
        <v>8121</v>
      </c>
      <c r="B3401" s="5" t="s">
        <v>8121</v>
      </c>
      <c r="C3401" s="5" t="s">
        <v>57</v>
      </c>
      <c r="D3401" s="5" t="s">
        <v>58</v>
      </c>
      <c r="E3401" s="5" t="s">
        <v>367</v>
      </c>
      <c r="F3401" s="9">
        <v>64</v>
      </c>
      <c r="G3401" s="9">
        <v>711</v>
      </c>
      <c r="H3401" s="5" t="s">
        <v>20</v>
      </c>
      <c r="I3401" s="5" t="s">
        <v>8122</v>
      </c>
      <c r="J3401" s="12" t="str">
        <f>HYPERLINK("https://www.boe.es/gazeta/dias/1804/08/10/pdfs/GMD-1804-64.pdf#page=5","Abrir facsímil")</f>
        <v>Abrir facsímil</v>
      </c>
      <c r="K3401" s="15" t="s">
        <v>22</v>
      </c>
    </row>
    <row r="3402" spans="1:11" ht="42" customHeight="1">
      <c r="A3402" s="4" t="s">
        <v>8123</v>
      </c>
      <c r="B3402" s="5" t="s">
        <v>8124</v>
      </c>
      <c r="C3402" s="5" t="s">
        <v>57</v>
      </c>
      <c r="D3402" s="5" t="s">
        <v>58</v>
      </c>
      <c r="E3402" s="5" t="s">
        <v>794</v>
      </c>
      <c r="F3402" s="9">
        <v>42</v>
      </c>
      <c r="G3402" s="9">
        <v>469</v>
      </c>
      <c r="H3402" s="5" t="s">
        <v>20</v>
      </c>
      <c r="I3402" s="5" t="s">
        <v>8125</v>
      </c>
      <c r="J3402" s="12" t="str">
        <f>HYPERLINK("https://www.boe.es/gazeta/dias/1804/05/25/pdfs/GMD-1804-42.pdf#page=7","Abrir facsímil")</f>
        <v>Abrir facsímil</v>
      </c>
      <c r="K3402" s="15" t="s">
        <v>22</v>
      </c>
    </row>
    <row r="3403" spans="1:11" ht="42" customHeight="1">
      <c r="A3403" s="4" t="s">
        <v>8126</v>
      </c>
      <c r="B3403" s="5" t="s">
        <v>8127</v>
      </c>
      <c r="C3403" s="5" t="s">
        <v>27</v>
      </c>
      <c r="D3403" s="5" t="s">
        <v>28</v>
      </c>
      <c r="E3403" s="5" t="s">
        <v>354</v>
      </c>
      <c r="F3403" s="9">
        <v>1</v>
      </c>
      <c r="G3403" s="9">
        <v>10</v>
      </c>
      <c r="H3403" s="5" t="s">
        <v>20</v>
      </c>
      <c r="I3403" s="5" t="s">
        <v>8128</v>
      </c>
      <c r="J3403" s="12" t="str">
        <f>HYPERLINK("https://www.boe.es/gazeta/dias/1804/01/03/pdfs/GMD-1804-1.pdf#page=10","Abrir facsímil")</f>
        <v>Abrir facsímil</v>
      </c>
      <c r="K3403" s="15" t="s">
        <v>22</v>
      </c>
    </row>
    <row r="3404" spans="1:11" ht="42" customHeight="1">
      <c r="A3404" s="4" t="s">
        <v>8129</v>
      </c>
      <c r="B3404" s="5" t="s">
        <v>8130</v>
      </c>
      <c r="C3404" s="5" t="s">
        <v>57</v>
      </c>
      <c r="D3404" s="5" t="s">
        <v>58</v>
      </c>
      <c r="E3404" s="5" t="s">
        <v>43</v>
      </c>
      <c r="F3404" s="9">
        <v>84</v>
      </c>
      <c r="G3404" s="9">
        <v>923</v>
      </c>
      <c r="H3404" s="5" t="s">
        <v>20</v>
      </c>
      <c r="I3404" s="5" t="s">
        <v>8131</v>
      </c>
      <c r="J3404" s="12" t="str">
        <f>HYPERLINK("https://www.boe.es/gazeta/dias/1804/10/19/pdfs/GMD-1804-84.pdf#page=1","Abrir facsímil")</f>
        <v>Abrir facsímil</v>
      </c>
      <c r="K3404" s="15" t="s">
        <v>22</v>
      </c>
    </row>
    <row r="3405" spans="1:11" ht="42" customHeight="1">
      <c r="A3405" s="4" t="s">
        <v>8132</v>
      </c>
      <c r="B3405" s="5" t="s">
        <v>8133</v>
      </c>
      <c r="C3405" s="5" t="s">
        <v>85</v>
      </c>
      <c r="D3405" s="5" t="s">
        <v>86</v>
      </c>
      <c r="E3405" s="5" t="s">
        <v>794</v>
      </c>
      <c r="F3405" s="9">
        <v>42</v>
      </c>
      <c r="G3405" s="9">
        <v>472</v>
      </c>
      <c r="H3405" s="5" t="s">
        <v>20</v>
      </c>
      <c r="I3405" s="5" t="s">
        <v>8134</v>
      </c>
      <c r="J3405" s="12" t="str">
        <f>HYPERLINK("https://www.boe.es/gazeta/dias/1804/05/25/pdfs/GMD-1804-42.pdf#page=10","Abrir facsímil")</f>
        <v>Abrir facsímil</v>
      </c>
      <c r="K3405" s="15" t="s">
        <v>22</v>
      </c>
    </row>
    <row r="3406" spans="1:11" ht="42" customHeight="1">
      <c r="A3406" s="4" t="s">
        <v>8135</v>
      </c>
      <c r="B3406" s="5" t="s">
        <v>8136</v>
      </c>
      <c r="C3406" s="5" t="s">
        <v>85</v>
      </c>
      <c r="D3406" s="5" t="s">
        <v>86</v>
      </c>
      <c r="E3406" s="5" t="s">
        <v>427</v>
      </c>
      <c r="F3406" s="9">
        <v>80</v>
      </c>
      <c r="G3406" s="9">
        <v>890</v>
      </c>
      <c r="H3406" s="5" t="s">
        <v>20</v>
      </c>
      <c r="I3406" s="5" t="s">
        <v>8137</v>
      </c>
      <c r="J3406" s="12" t="str">
        <f>HYPERLINK("https://www.boe.es/gazeta/dias/1804/10/05/pdfs/GMD-1804-80.pdf#page=8","Abrir facsímil")</f>
        <v>Abrir facsímil</v>
      </c>
      <c r="K3406" s="15" t="s">
        <v>22</v>
      </c>
    </row>
    <row r="3407" spans="1:11" ht="42" customHeight="1">
      <c r="A3407" s="4" t="s">
        <v>8138</v>
      </c>
      <c r="B3407" s="5" t="s">
        <v>8138</v>
      </c>
      <c r="C3407" s="5" t="s">
        <v>85</v>
      </c>
      <c r="D3407" s="5" t="s">
        <v>86</v>
      </c>
      <c r="E3407" s="5" t="s">
        <v>106</v>
      </c>
      <c r="F3407" s="9">
        <v>34</v>
      </c>
      <c r="G3407" s="9">
        <v>377</v>
      </c>
      <c r="H3407" s="5" t="s">
        <v>20</v>
      </c>
      <c r="I3407" s="5" t="s">
        <v>8139</v>
      </c>
      <c r="J3407" s="12" t="str">
        <f>HYPERLINK("https://www.boe.es/gazeta/dias/1804/04/27/pdfs/GMD-1804-34.pdf#page=7","Abrir facsímil")</f>
        <v>Abrir facsímil</v>
      </c>
      <c r="K3407" s="15" t="s">
        <v>22</v>
      </c>
    </row>
    <row r="3408" spans="1:11" ht="42" customHeight="1">
      <c r="A3408" s="4" t="s">
        <v>8140</v>
      </c>
      <c r="B3408" s="5" t="s">
        <v>8141</v>
      </c>
      <c r="C3408" s="5" t="s">
        <v>27</v>
      </c>
      <c r="D3408" s="5" t="s">
        <v>28</v>
      </c>
      <c r="E3408" s="5" t="s">
        <v>453</v>
      </c>
      <c r="F3408" s="9">
        <v>33</v>
      </c>
      <c r="G3408" s="9">
        <v>366</v>
      </c>
      <c r="H3408" s="5" t="s">
        <v>20</v>
      </c>
      <c r="I3408" s="5" t="s">
        <v>8142</v>
      </c>
      <c r="J3408" s="12" t="str">
        <f>HYPERLINK("https://www.boe.es/gazeta/dias/1804/04/24/pdfs/GMD-1804-33.pdf#page=8","Abrir facsímil")</f>
        <v>Abrir facsímil</v>
      </c>
      <c r="K3408" s="15" t="s">
        <v>22</v>
      </c>
    </row>
    <row r="3409" spans="1:11" ht="42" customHeight="1">
      <c r="A3409" s="4" t="s">
        <v>8143</v>
      </c>
      <c r="B3409" s="5" t="s">
        <v>8144</v>
      </c>
      <c r="C3409" s="5" t="s">
        <v>27</v>
      </c>
      <c r="D3409" s="5" t="s">
        <v>28</v>
      </c>
      <c r="E3409" s="5" t="s">
        <v>326</v>
      </c>
      <c r="F3409" s="9">
        <v>69</v>
      </c>
      <c r="G3409" s="9">
        <v>775</v>
      </c>
      <c r="H3409" s="5" t="s">
        <v>20</v>
      </c>
      <c r="I3409" s="5" t="s">
        <v>8145</v>
      </c>
      <c r="J3409" s="12" t="str">
        <f>HYPERLINK("https://www.boe.es/gazeta/dias/1804/08/28/pdfs/GMD-1804-69.pdf#page=9","Abrir facsímil")</f>
        <v>Abrir facsímil</v>
      </c>
      <c r="K3409" s="15" t="s">
        <v>22</v>
      </c>
    </row>
    <row r="3410" spans="1:11" ht="42" customHeight="1">
      <c r="A3410" s="4" t="s">
        <v>8146</v>
      </c>
      <c r="B3410" s="5" t="s">
        <v>8146</v>
      </c>
      <c r="C3410" s="5" t="s">
        <v>65</v>
      </c>
      <c r="D3410" s="5" t="s">
        <v>66</v>
      </c>
      <c r="E3410" s="5" t="s">
        <v>1278</v>
      </c>
      <c r="F3410" s="9">
        <v>37</v>
      </c>
      <c r="G3410" s="9">
        <v>414</v>
      </c>
      <c r="H3410" s="5" t="s">
        <v>20</v>
      </c>
      <c r="I3410" s="5" t="s">
        <v>8147</v>
      </c>
      <c r="J3410" s="12" t="str">
        <f>HYPERLINK("https://www.boe.es/gazeta/dias/1804/05/08/pdfs/GMD-1804-37.pdf#page=12","Abrir facsímil")</f>
        <v>Abrir facsímil</v>
      </c>
      <c r="K3410" s="15" t="s">
        <v>22</v>
      </c>
    </row>
    <row r="3411" spans="1:11" ht="42" customHeight="1">
      <c r="A3411" s="4" t="s">
        <v>8148</v>
      </c>
      <c r="B3411" s="5" t="s">
        <v>8148</v>
      </c>
      <c r="C3411" s="5" t="s">
        <v>120</v>
      </c>
      <c r="D3411" s="5" t="s">
        <v>121</v>
      </c>
      <c r="E3411" s="5" t="s">
        <v>33</v>
      </c>
      <c r="F3411" s="9">
        <v>48</v>
      </c>
      <c r="G3411" s="9" t="s">
        <v>98</v>
      </c>
      <c r="H3411" s="5" t="s">
        <v>20</v>
      </c>
      <c r="I3411" s="5" t="s">
        <v>8149</v>
      </c>
      <c r="J3411" s="12" t="str">
        <f>HYPERLINK("https://www.boe.es/gazeta/dias/1804/06/15/pdfs/GMD-C-1804-48.pdf#page=1","Abrir facsímil")</f>
        <v>Abrir facsímil</v>
      </c>
      <c r="K3411" s="15" t="s">
        <v>22</v>
      </c>
    </row>
    <row r="3412" spans="1:11" ht="42" customHeight="1">
      <c r="A3412" s="4" t="s">
        <v>8150</v>
      </c>
      <c r="B3412" s="5" t="s">
        <v>8150</v>
      </c>
      <c r="C3412" s="5" t="s">
        <v>120</v>
      </c>
      <c r="D3412" s="5" t="s">
        <v>121</v>
      </c>
      <c r="E3412" s="5" t="s">
        <v>33</v>
      </c>
      <c r="F3412" s="9">
        <v>48</v>
      </c>
      <c r="G3412" s="9" t="s">
        <v>98</v>
      </c>
      <c r="H3412" s="5" t="s">
        <v>20</v>
      </c>
      <c r="I3412" s="5" t="s">
        <v>8151</v>
      </c>
      <c r="J3412" s="12" t="str">
        <f>HYPERLINK("https://www.boe.es/gazeta/dias/1804/06/15/pdfs/GMD-C-1804-48.pdf#page=1","Abrir facsímil")</f>
        <v>Abrir facsímil</v>
      </c>
      <c r="K3412" s="15" t="s">
        <v>22</v>
      </c>
    </row>
    <row r="3413" spans="1:11" ht="42" customHeight="1">
      <c r="A3413" s="4" t="s">
        <v>8152</v>
      </c>
      <c r="B3413" s="5" t="s">
        <v>8152</v>
      </c>
      <c r="C3413" s="5" t="s">
        <v>27</v>
      </c>
      <c r="D3413" s="5" t="s">
        <v>28</v>
      </c>
      <c r="E3413" s="5" t="s">
        <v>199</v>
      </c>
      <c r="F3413" s="9">
        <v>46</v>
      </c>
      <c r="G3413" s="9">
        <v>512</v>
      </c>
      <c r="H3413" s="5" t="s">
        <v>20</v>
      </c>
      <c r="I3413" s="5" t="s">
        <v>8153</v>
      </c>
      <c r="J3413" s="12" t="str">
        <f>HYPERLINK("https://www.boe.es/gazeta/dias/1804/06/08/pdfs/GMD-1804-46.pdf#page=10","Abrir facsímil")</f>
        <v>Abrir facsímil</v>
      </c>
      <c r="K3413" s="15" t="s">
        <v>22</v>
      </c>
    </row>
    <row r="3414" spans="1:11" ht="42" customHeight="1">
      <c r="A3414" s="4" t="s">
        <v>8154</v>
      </c>
      <c r="B3414" s="5" t="s">
        <v>8155</v>
      </c>
      <c r="C3414" s="5" t="s">
        <v>120</v>
      </c>
      <c r="D3414" s="5" t="s">
        <v>121</v>
      </c>
      <c r="E3414" s="5" t="s">
        <v>33</v>
      </c>
      <c r="F3414" s="9">
        <v>48</v>
      </c>
      <c r="G3414" s="9" t="s">
        <v>819</v>
      </c>
      <c r="H3414" s="5" t="s">
        <v>20</v>
      </c>
      <c r="I3414" s="5" t="s">
        <v>8156</v>
      </c>
      <c r="J3414" s="12" t="str">
        <f>HYPERLINK("https://www.boe.es/gazeta/dias/1804/06/15/pdfs/GMD-C-1804-48.pdf#page=4","Abrir facsímil")</f>
        <v>Abrir facsímil</v>
      </c>
      <c r="K3414" s="15" t="s">
        <v>22</v>
      </c>
    </row>
    <row r="3415" spans="1:11" ht="42" customHeight="1">
      <c r="A3415" s="4" t="s">
        <v>8157</v>
      </c>
      <c r="B3415" s="5" t="s">
        <v>8157</v>
      </c>
      <c r="C3415" s="5" t="s">
        <v>27</v>
      </c>
      <c r="D3415" s="5" t="s">
        <v>28</v>
      </c>
      <c r="E3415" s="5" t="s">
        <v>172</v>
      </c>
      <c r="F3415" s="9">
        <v>38</v>
      </c>
      <c r="G3415" s="9">
        <v>424</v>
      </c>
      <c r="H3415" s="5" t="s">
        <v>20</v>
      </c>
      <c r="I3415" s="5" t="s">
        <v>8158</v>
      </c>
      <c r="J3415" s="12" t="str">
        <f>HYPERLINK("https://www.boe.es/gazeta/dias/1804/05/11/pdfs/GMD-1804-38.pdf#page=10","Abrir facsímil")</f>
        <v>Abrir facsímil</v>
      </c>
      <c r="K3415" s="15" t="s">
        <v>22</v>
      </c>
    </row>
    <row r="3416" spans="1:11" ht="42" customHeight="1">
      <c r="A3416" s="4" t="s">
        <v>8159</v>
      </c>
      <c r="B3416" s="5" t="s">
        <v>8159</v>
      </c>
      <c r="C3416" s="5" t="s">
        <v>85</v>
      </c>
      <c r="D3416" s="5" t="s">
        <v>86</v>
      </c>
      <c r="E3416" s="5" t="s">
        <v>360</v>
      </c>
      <c r="F3416" s="9">
        <v>81</v>
      </c>
      <c r="G3416" s="9">
        <v>897</v>
      </c>
      <c r="H3416" s="5" t="s">
        <v>20</v>
      </c>
      <c r="I3416" s="5" t="s">
        <v>8160</v>
      </c>
      <c r="J3416" s="12" t="str">
        <f>HYPERLINK("https://www.boe.es/gazeta/dias/1804/10/09/pdfs/GMD-1804-81.pdf#page=7","Abrir facsímil")</f>
        <v>Abrir facsímil</v>
      </c>
      <c r="K3416" s="15" t="s">
        <v>22</v>
      </c>
    </row>
    <row r="3417" spans="1:11" ht="42" customHeight="1">
      <c r="A3417" s="4" t="s">
        <v>8161</v>
      </c>
      <c r="B3417" s="5" t="s">
        <v>8161</v>
      </c>
      <c r="C3417" s="5" t="s">
        <v>120</v>
      </c>
      <c r="D3417" s="5" t="s">
        <v>121</v>
      </c>
      <c r="E3417" s="5" t="s">
        <v>33</v>
      </c>
      <c r="F3417" s="9">
        <v>48</v>
      </c>
      <c r="G3417" s="9" t="s">
        <v>285</v>
      </c>
      <c r="H3417" s="5" t="s">
        <v>20</v>
      </c>
      <c r="I3417" s="5" t="s">
        <v>8162</v>
      </c>
      <c r="J3417" s="12" t="str">
        <f>HYPERLINK("https://www.boe.es/gazeta/dias/1804/06/15/pdfs/GMD-C-1804-48.pdf#page=2","Abrir facsímil")</f>
        <v>Abrir facsímil</v>
      </c>
      <c r="K3417" s="15" t="s">
        <v>22</v>
      </c>
    </row>
    <row r="3418" spans="1:11" ht="42" customHeight="1">
      <c r="A3418" s="4" t="s">
        <v>8163</v>
      </c>
      <c r="B3418" s="5" t="s">
        <v>8163</v>
      </c>
      <c r="C3418" s="5" t="s">
        <v>17</v>
      </c>
      <c r="D3418" s="5" t="s">
        <v>18</v>
      </c>
      <c r="E3418" s="5" t="s">
        <v>199</v>
      </c>
      <c r="F3418" s="9">
        <v>46</v>
      </c>
      <c r="G3418" s="9">
        <v>513</v>
      </c>
      <c r="H3418" s="5" t="s">
        <v>20</v>
      </c>
      <c r="I3418" s="5" t="s">
        <v>8164</v>
      </c>
      <c r="J3418" s="12" t="str">
        <f>HYPERLINK("https://www.boe.es/gazeta/dias/1804/06/08/pdfs/GMD-1804-46.pdf#page=11","Abrir facsímil")</f>
        <v>Abrir facsímil</v>
      </c>
      <c r="K3418" s="15" t="s">
        <v>22</v>
      </c>
    </row>
    <row r="3419" spans="1:11" ht="42" customHeight="1">
      <c r="A3419" s="4" t="s">
        <v>8165</v>
      </c>
      <c r="B3419" s="5" t="s">
        <v>8165</v>
      </c>
      <c r="C3419" s="5" t="s">
        <v>85</v>
      </c>
      <c r="D3419" s="5" t="s">
        <v>86</v>
      </c>
      <c r="E3419" s="5" t="s">
        <v>587</v>
      </c>
      <c r="F3419" s="9">
        <v>62</v>
      </c>
      <c r="G3419" s="9">
        <v>690</v>
      </c>
      <c r="H3419" s="5" t="s">
        <v>20</v>
      </c>
      <c r="I3419" s="5" t="s">
        <v>8166</v>
      </c>
      <c r="J3419" s="12" t="str">
        <f>HYPERLINK("https://www.boe.es/gazeta/dias/1804/08/03/pdfs/GMD-1804-62.pdf#page=12","Abrir facsímil")</f>
        <v>Abrir facsímil</v>
      </c>
      <c r="K3419" s="15" t="s">
        <v>22</v>
      </c>
    </row>
    <row r="3420" spans="1:11" ht="42" customHeight="1">
      <c r="A3420" s="4" t="s">
        <v>8167</v>
      </c>
      <c r="B3420" s="5" t="s">
        <v>8168</v>
      </c>
      <c r="C3420" s="5" t="s">
        <v>17</v>
      </c>
      <c r="D3420" s="5" t="s">
        <v>18</v>
      </c>
      <c r="E3420" s="5" t="s">
        <v>71</v>
      </c>
      <c r="F3420" s="9">
        <v>99</v>
      </c>
      <c r="G3420" s="9">
        <v>1107</v>
      </c>
      <c r="H3420" s="5" t="s">
        <v>20</v>
      </c>
      <c r="I3420" s="5" t="s">
        <v>8169</v>
      </c>
      <c r="J3420" s="12" t="str">
        <f>HYPERLINK("https://www.boe.es/gazeta/dias/1804/12/11/pdfs/GMD-1804-99.pdf#page=7","Abrir facsímil")</f>
        <v>Abrir facsímil</v>
      </c>
      <c r="K3420" s="15" t="s">
        <v>22</v>
      </c>
    </row>
    <row r="3421" spans="1:11" ht="42" customHeight="1">
      <c r="A3421" s="4" t="s">
        <v>8170</v>
      </c>
      <c r="B3421" s="5" t="s">
        <v>8171</v>
      </c>
      <c r="C3421" s="5" t="s">
        <v>17</v>
      </c>
      <c r="D3421" s="5" t="s">
        <v>18</v>
      </c>
      <c r="E3421" s="5" t="s">
        <v>71</v>
      </c>
      <c r="F3421" s="9">
        <v>99</v>
      </c>
      <c r="G3421" s="9">
        <v>1107</v>
      </c>
      <c r="H3421" s="5" t="s">
        <v>20</v>
      </c>
      <c r="I3421" s="5" t="s">
        <v>8172</v>
      </c>
      <c r="J3421" s="12" t="str">
        <f>HYPERLINK("https://www.boe.es/gazeta/dias/1804/12/11/pdfs/GMD-1804-99.pdf#page=7","Abrir facsímil")</f>
        <v>Abrir facsímil</v>
      </c>
      <c r="K3421" s="15" t="s">
        <v>22</v>
      </c>
    </row>
    <row r="3422" spans="1:11" ht="42" customHeight="1">
      <c r="A3422" s="4" t="s">
        <v>8173</v>
      </c>
      <c r="B3422" s="5" t="s">
        <v>8174</v>
      </c>
      <c r="C3422" s="5" t="s">
        <v>65</v>
      </c>
      <c r="D3422" s="5" t="s">
        <v>66</v>
      </c>
      <c r="E3422" s="5" t="s">
        <v>178</v>
      </c>
      <c r="F3422" s="9">
        <v>20</v>
      </c>
      <c r="G3422" s="9">
        <v>220</v>
      </c>
      <c r="H3422" s="5" t="s">
        <v>20</v>
      </c>
      <c r="I3422" s="5" t="s">
        <v>8175</v>
      </c>
      <c r="J3422" s="12" t="str">
        <f>HYPERLINK("https://www.boe.es/gazeta/dias/1804/03/09/pdfs/GMD-1804-20.pdf#page=8","Abrir facsímil")</f>
        <v>Abrir facsímil</v>
      </c>
      <c r="K3422" s="15" t="s">
        <v>22</v>
      </c>
    </row>
    <row r="3423" spans="1:11" ht="42" customHeight="1">
      <c r="A3423" s="4" t="s">
        <v>8176</v>
      </c>
      <c r="B3423" s="5" t="s">
        <v>8177</v>
      </c>
      <c r="C3423" s="5" t="s">
        <v>198</v>
      </c>
      <c r="D3423" s="5" t="s">
        <v>66</v>
      </c>
      <c r="E3423" s="5" t="s">
        <v>87</v>
      </c>
      <c r="F3423" s="9">
        <v>9</v>
      </c>
      <c r="G3423" s="9">
        <v>98</v>
      </c>
      <c r="H3423" s="5" t="s">
        <v>20</v>
      </c>
      <c r="I3423" s="5" t="s">
        <v>8178</v>
      </c>
      <c r="J3423" s="12" t="str">
        <f>HYPERLINK("https://www.boe.es/gazeta/dias/1804/01/31/pdfs/GMD-1804-9.pdf#page=10","Abrir facsímil")</f>
        <v>Abrir facsímil</v>
      </c>
      <c r="K3423" s="15" t="s">
        <v>22</v>
      </c>
    </row>
    <row r="3424" spans="1:11" ht="42" customHeight="1">
      <c r="A3424" s="4" t="s">
        <v>8179</v>
      </c>
      <c r="B3424" s="5" t="s">
        <v>8180</v>
      </c>
      <c r="C3424" s="5" t="s">
        <v>65</v>
      </c>
      <c r="D3424" s="5" t="s">
        <v>66</v>
      </c>
      <c r="E3424" s="5" t="s">
        <v>484</v>
      </c>
      <c r="F3424" s="9">
        <v>53</v>
      </c>
      <c r="G3424" s="9">
        <v>590</v>
      </c>
      <c r="H3424" s="5" t="s">
        <v>20</v>
      </c>
      <c r="I3424" s="5" t="s">
        <v>8181</v>
      </c>
      <c r="J3424" s="12" t="str">
        <f>HYPERLINK("https://www.boe.es/gazeta/dias/1804/07/03/pdfs/GMD-1804-53.pdf#page=8","Abrir facsímil")</f>
        <v>Abrir facsímil</v>
      </c>
      <c r="K3424" s="15" t="s">
        <v>22</v>
      </c>
    </row>
    <row r="3425" spans="1:11" ht="42" customHeight="1">
      <c r="A3425" s="4" t="s">
        <v>8182</v>
      </c>
      <c r="B3425" s="5" t="s">
        <v>8182</v>
      </c>
      <c r="C3425" s="5" t="s">
        <v>120</v>
      </c>
      <c r="D3425" s="5" t="s">
        <v>121</v>
      </c>
      <c r="E3425" s="5" t="s">
        <v>33</v>
      </c>
      <c r="F3425" s="9">
        <v>48</v>
      </c>
      <c r="G3425" s="9" t="s">
        <v>122</v>
      </c>
      <c r="H3425" s="5" t="s">
        <v>20</v>
      </c>
      <c r="I3425" s="5" t="s">
        <v>8183</v>
      </c>
      <c r="J3425" s="12" t="str">
        <f>HYPERLINK("https://www.boe.es/gazeta/dias/1804/06/15/pdfs/GMD-C-1804-48.pdf#page=3","Abrir facsímil")</f>
        <v>Abrir facsímil</v>
      </c>
      <c r="K3425" s="15" t="s">
        <v>22</v>
      </c>
    </row>
    <row r="3426" spans="1:11" ht="42" customHeight="1">
      <c r="A3426" s="4" t="s">
        <v>8184</v>
      </c>
      <c r="B3426" s="5" t="s">
        <v>8184</v>
      </c>
      <c r="C3426" s="5" t="s">
        <v>85</v>
      </c>
      <c r="D3426" s="5" t="s">
        <v>86</v>
      </c>
      <c r="E3426" s="5" t="s">
        <v>950</v>
      </c>
      <c r="F3426" s="9">
        <v>90</v>
      </c>
      <c r="G3426" s="9">
        <v>993</v>
      </c>
      <c r="H3426" s="5" t="s">
        <v>20</v>
      </c>
      <c r="I3426" s="5" t="s">
        <v>8185</v>
      </c>
      <c r="J3426" s="12" t="str">
        <f>HYPERLINK("https://www.boe.es/gazeta/dias/1804/11/09/pdfs/GMD-1804-90.pdf#page=1","Abrir facsímil")</f>
        <v>Abrir facsímil</v>
      </c>
      <c r="K3426" s="15" t="s">
        <v>22</v>
      </c>
    </row>
    <row r="3427" spans="1:11" ht="42" customHeight="1">
      <c r="A3427" s="4" t="s">
        <v>8186</v>
      </c>
      <c r="B3427" s="5" t="s">
        <v>8186</v>
      </c>
      <c r="C3427" s="5" t="s">
        <v>27</v>
      </c>
      <c r="D3427" s="5" t="s">
        <v>28</v>
      </c>
      <c r="E3427" s="5" t="s">
        <v>1095</v>
      </c>
      <c r="F3427" s="9">
        <v>73</v>
      </c>
      <c r="G3427" s="9">
        <v>818</v>
      </c>
      <c r="H3427" s="5" t="s">
        <v>20</v>
      </c>
      <c r="I3427" s="5" t="s">
        <v>8187</v>
      </c>
      <c r="J3427" s="12" t="str">
        <f>HYPERLINK("https://www.boe.es/gazeta/dias/1804/09/11/pdfs/GMD-1804-73.pdf#page=8","Abrir facsímil")</f>
        <v>Abrir facsímil</v>
      </c>
      <c r="K3427" s="15" t="s">
        <v>22</v>
      </c>
    </row>
    <row r="3428" spans="1:11" ht="42" customHeight="1">
      <c r="A3428" s="4" t="s">
        <v>8188</v>
      </c>
      <c r="B3428" s="5" t="s">
        <v>8188</v>
      </c>
      <c r="C3428" s="5" t="s">
        <v>57</v>
      </c>
      <c r="D3428" s="5" t="s">
        <v>58</v>
      </c>
      <c r="E3428" s="5" t="s">
        <v>245</v>
      </c>
      <c r="F3428" s="9">
        <v>6</v>
      </c>
      <c r="G3428" s="9">
        <v>50</v>
      </c>
      <c r="H3428" s="5" t="s">
        <v>20</v>
      </c>
      <c r="I3428" s="5" t="s">
        <v>8189</v>
      </c>
      <c r="J3428" s="12" t="str">
        <f>HYPERLINK("https://www.boe.es/gazeta/dias/1804/01/20/pdfs/GMD-1804-6.pdf#page=2","Abrir facsímil")</f>
        <v>Abrir facsímil</v>
      </c>
      <c r="K3428" s="15" t="s">
        <v>22</v>
      </c>
    </row>
    <row r="3429" spans="1:11" ht="42" customHeight="1">
      <c r="A3429" s="4" t="s">
        <v>8190</v>
      </c>
      <c r="B3429" s="5" t="s">
        <v>8190</v>
      </c>
      <c r="C3429" s="5" t="s">
        <v>57</v>
      </c>
      <c r="D3429" s="5" t="s">
        <v>58</v>
      </c>
      <c r="E3429" s="5" t="s">
        <v>41</v>
      </c>
      <c r="F3429" s="9">
        <v>24</v>
      </c>
      <c r="G3429" s="9">
        <v>267</v>
      </c>
      <c r="H3429" s="5" t="s">
        <v>20</v>
      </c>
      <c r="I3429" s="5" t="s">
        <v>8191</v>
      </c>
      <c r="J3429" s="12" t="str">
        <f>HYPERLINK("https://www.boe.es/gazeta/dias/1804/03/23/pdfs/GMD-1804-24.pdf#page=1","Abrir facsímil")</f>
        <v>Abrir facsímil</v>
      </c>
      <c r="K3429" s="15" t="s">
        <v>22</v>
      </c>
    </row>
    <row r="3430" spans="1:11" ht="42" customHeight="1">
      <c r="A3430" s="4" t="s">
        <v>8192</v>
      </c>
      <c r="B3430" s="5" t="s">
        <v>8192</v>
      </c>
      <c r="C3430" s="5" t="s">
        <v>17</v>
      </c>
      <c r="D3430" s="5" t="s">
        <v>18</v>
      </c>
      <c r="E3430" s="5" t="s">
        <v>308</v>
      </c>
      <c r="F3430" s="9">
        <v>96</v>
      </c>
      <c r="G3430" s="9">
        <v>1066</v>
      </c>
      <c r="H3430" s="5" t="s">
        <v>20</v>
      </c>
      <c r="I3430" s="5" t="s">
        <v>8193</v>
      </c>
      <c r="J3430" s="12" t="str">
        <f>HYPERLINK("https://www.boe.es/gazeta/dias/1804/11/30/pdfs/GMD-1804-96.pdf#page=6","Abrir facsímil")</f>
        <v>Abrir facsímil</v>
      </c>
      <c r="K3430" s="15" t="s">
        <v>22</v>
      </c>
    </row>
    <row r="3431" spans="1:11" ht="42" customHeight="1">
      <c r="A3431" s="4" t="s">
        <v>8194</v>
      </c>
      <c r="B3431" s="5" t="s">
        <v>8194</v>
      </c>
      <c r="C3431" s="5" t="s">
        <v>57</v>
      </c>
      <c r="D3431" s="5" t="s">
        <v>58</v>
      </c>
      <c r="E3431" s="5" t="s">
        <v>111</v>
      </c>
      <c r="F3431" s="9">
        <v>40</v>
      </c>
      <c r="G3431" s="9">
        <v>440</v>
      </c>
      <c r="H3431" s="5" t="s">
        <v>20</v>
      </c>
      <c r="I3431" s="5" t="s">
        <v>8195</v>
      </c>
      <c r="J3431" s="12" t="str">
        <f>HYPERLINK("https://www.boe.es/gazeta/dias/1804/05/18/pdfs/GMD-1804-40.pdf#page=2","Abrir facsímil")</f>
        <v>Abrir facsímil</v>
      </c>
      <c r="K3431" s="15" t="s">
        <v>22</v>
      </c>
    </row>
    <row r="3432" spans="1:11" ht="42" customHeight="1">
      <c r="A3432" s="4" t="s">
        <v>8196</v>
      </c>
      <c r="B3432" s="5" t="s">
        <v>8197</v>
      </c>
      <c r="C3432" s="5" t="s">
        <v>57</v>
      </c>
      <c r="D3432" s="5" t="s">
        <v>58</v>
      </c>
      <c r="E3432" s="5" t="s">
        <v>178</v>
      </c>
      <c r="F3432" s="9">
        <v>20</v>
      </c>
      <c r="G3432" s="9">
        <v>213</v>
      </c>
      <c r="H3432" s="5" t="s">
        <v>20</v>
      </c>
      <c r="I3432" s="5" t="s">
        <v>8198</v>
      </c>
      <c r="J3432" s="12" t="str">
        <f>HYPERLINK("https://www.boe.es/gazeta/dias/1804/03/09/pdfs/GMD-1804-20.pdf#page=1","Abrir facsímil")</f>
        <v>Abrir facsímil</v>
      </c>
      <c r="K3432" s="15" t="s">
        <v>22</v>
      </c>
    </row>
    <row r="3433" spans="1:11" ht="42" customHeight="1">
      <c r="A3433" s="4" t="s">
        <v>8199</v>
      </c>
      <c r="B3433" s="5" t="s">
        <v>8200</v>
      </c>
      <c r="C3433" s="5" t="s">
        <v>65</v>
      </c>
      <c r="D3433" s="5" t="s">
        <v>66</v>
      </c>
      <c r="E3433" s="5" t="s">
        <v>623</v>
      </c>
      <c r="F3433" s="9">
        <v>51</v>
      </c>
      <c r="G3433" s="9">
        <v>565</v>
      </c>
      <c r="H3433" s="5" t="s">
        <v>20</v>
      </c>
      <c r="I3433" s="5" t="s">
        <v>8201</v>
      </c>
      <c r="J3433" s="12" t="str">
        <f>HYPERLINK("https://www.boe.es/gazeta/dias/1804/06/26/pdfs/GMD-1804-51.pdf#page=11","Abrir facsímil")</f>
        <v>Abrir facsímil</v>
      </c>
      <c r="K3433" s="15" t="s">
        <v>22</v>
      </c>
    </row>
    <row r="3434" spans="1:11" ht="42" customHeight="1">
      <c r="A3434" s="4" t="s">
        <v>8202</v>
      </c>
      <c r="B3434" s="5" t="s">
        <v>8202</v>
      </c>
      <c r="C3434" s="5" t="s">
        <v>27</v>
      </c>
      <c r="D3434" s="5" t="s">
        <v>28</v>
      </c>
      <c r="E3434" s="5" t="s">
        <v>1449</v>
      </c>
      <c r="F3434" s="9">
        <v>8</v>
      </c>
      <c r="G3434" s="9">
        <v>86</v>
      </c>
      <c r="H3434" s="5" t="s">
        <v>20</v>
      </c>
      <c r="I3434" s="5" t="s">
        <v>8203</v>
      </c>
      <c r="J3434" s="12" t="str">
        <f>HYPERLINK("https://www.boe.es/gazeta/dias/1804/01/27/pdfs/GMD-1804-8.pdf#page=10","Abrir facsímil")</f>
        <v>Abrir facsímil</v>
      </c>
      <c r="K3434" s="15" t="s">
        <v>22</v>
      </c>
    </row>
    <row r="3435" spans="1:11" ht="42" customHeight="1">
      <c r="A3435" s="4" t="s">
        <v>8204</v>
      </c>
      <c r="B3435" s="5" t="s">
        <v>8205</v>
      </c>
      <c r="C3435" s="5" t="s">
        <v>57</v>
      </c>
      <c r="D3435" s="5" t="s">
        <v>58</v>
      </c>
      <c r="E3435" s="5" t="s">
        <v>136</v>
      </c>
      <c r="F3435" s="9">
        <v>23</v>
      </c>
      <c r="G3435" s="9">
        <v>259</v>
      </c>
      <c r="H3435" s="5" t="s">
        <v>20</v>
      </c>
      <c r="I3435" s="5" t="s">
        <v>8206</v>
      </c>
      <c r="J3435" s="12" t="str">
        <f>HYPERLINK("https://www.boe.es/gazeta/dias/1804/03/20/pdfs/GMD-1804-23.pdf#page=5","Abrir facsímil")</f>
        <v>Abrir facsímil</v>
      </c>
      <c r="K3435" s="15" t="s">
        <v>22</v>
      </c>
    </row>
    <row r="3436" spans="1:11" ht="42" customHeight="1">
      <c r="A3436" s="4" t="s">
        <v>8207</v>
      </c>
      <c r="B3436" s="5" t="s">
        <v>8208</v>
      </c>
      <c r="C3436" s="5" t="s">
        <v>198</v>
      </c>
      <c r="D3436" s="5" t="s">
        <v>66</v>
      </c>
      <c r="E3436" s="5" t="s">
        <v>398</v>
      </c>
      <c r="F3436" s="9">
        <v>22</v>
      </c>
      <c r="G3436" s="9">
        <v>250</v>
      </c>
      <c r="H3436" s="5" t="s">
        <v>20</v>
      </c>
      <c r="I3436" s="5" t="s">
        <v>8209</v>
      </c>
      <c r="J3436" s="12" t="str">
        <f>HYPERLINK("https://www.boe.es/gazeta/dias/1804/03/16/pdfs/GMD-C-1804-22.pdf#page=2","Abrir facsímil")</f>
        <v>Abrir facsímil</v>
      </c>
      <c r="K3436" s="15" t="s">
        <v>22</v>
      </c>
    </row>
    <row r="3437" spans="1:11" ht="42" customHeight="1">
      <c r="A3437" s="4" t="s">
        <v>8207</v>
      </c>
      <c r="B3437" s="5" t="s">
        <v>8208</v>
      </c>
      <c r="C3437" s="5" t="s">
        <v>198</v>
      </c>
      <c r="D3437" s="5" t="s">
        <v>66</v>
      </c>
      <c r="E3437" s="5" t="s">
        <v>666</v>
      </c>
      <c r="F3437" s="9">
        <v>57</v>
      </c>
      <c r="G3437" s="9">
        <v>636</v>
      </c>
      <c r="H3437" s="5" t="s">
        <v>20</v>
      </c>
      <c r="I3437" s="5" t="s">
        <v>8210</v>
      </c>
      <c r="J3437" s="12" t="str">
        <f>HYPERLINK("https://www.boe.es/gazeta/dias/1804/07/17/pdfs/GMD-C-1804-57.pdf#page=2","Abrir facsímil")</f>
        <v>Abrir facsímil</v>
      </c>
      <c r="K3437" s="15" t="s">
        <v>22</v>
      </c>
    </row>
    <row r="3438" spans="1:11" ht="42" customHeight="1">
      <c r="A3438" s="4" t="s">
        <v>8211</v>
      </c>
      <c r="B3438" s="5" t="s">
        <v>8211</v>
      </c>
      <c r="C3438" s="5" t="s">
        <v>65</v>
      </c>
      <c r="D3438" s="5" t="s">
        <v>66</v>
      </c>
      <c r="E3438" s="5" t="s">
        <v>576</v>
      </c>
      <c r="F3438" s="9">
        <v>85</v>
      </c>
      <c r="G3438" s="9">
        <v>935</v>
      </c>
      <c r="H3438" s="5" t="s">
        <v>20</v>
      </c>
      <c r="I3438" s="5" t="s">
        <v>8212</v>
      </c>
      <c r="J3438" s="12" t="str">
        <f>HYPERLINK("https://www.boe.es/gazeta/dias/1804/10/23/pdfs/GMD-1804-85.pdf#page=5","Abrir facsímil")</f>
        <v>Abrir facsímil</v>
      </c>
      <c r="K3438" s="15" t="s">
        <v>22</v>
      </c>
    </row>
    <row r="3439" spans="1:11" ht="42" customHeight="1">
      <c r="A3439" s="4" t="s">
        <v>8213</v>
      </c>
      <c r="B3439" s="5" t="s">
        <v>8213</v>
      </c>
      <c r="C3439" s="5" t="s">
        <v>57</v>
      </c>
      <c r="D3439" s="5" t="s">
        <v>58</v>
      </c>
      <c r="E3439" s="5" t="s">
        <v>143</v>
      </c>
      <c r="F3439" s="9">
        <v>87</v>
      </c>
      <c r="G3439" s="9">
        <v>958</v>
      </c>
      <c r="H3439" s="5" t="s">
        <v>20</v>
      </c>
      <c r="I3439" s="5" t="s">
        <v>8214</v>
      </c>
      <c r="J3439" s="12" t="str">
        <f>HYPERLINK("https://www.boe.es/gazeta/dias/1804/10/30/pdfs/GMD-1804-87.pdf#page=2","Abrir facsímil")</f>
        <v>Abrir facsímil</v>
      </c>
      <c r="K3439" s="15" t="s">
        <v>22</v>
      </c>
    </row>
    <row r="3440" spans="1:11" ht="42" customHeight="1">
      <c r="A3440" s="4" t="s">
        <v>8215</v>
      </c>
      <c r="B3440" s="5" t="s">
        <v>8215</v>
      </c>
      <c r="C3440" s="5" t="s">
        <v>57</v>
      </c>
      <c r="D3440" s="5" t="s">
        <v>58</v>
      </c>
      <c r="E3440" s="5" t="s">
        <v>320</v>
      </c>
      <c r="F3440" s="9">
        <v>31</v>
      </c>
      <c r="G3440" s="9">
        <v>337</v>
      </c>
      <c r="H3440" s="5" t="s">
        <v>20</v>
      </c>
      <c r="I3440" s="5" t="s">
        <v>8216</v>
      </c>
      <c r="J3440" s="12" t="str">
        <f>HYPERLINK("https://www.boe.es/gazeta/dias/1804/04/17/pdfs/GMD-1804-31.pdf#page=3","Abrir facsímil")</f>
        <v>Abrir facsímil</v>
      </c>
      <c r="K3440" s="15" t="s">
        <v>22</v>
      </c>
    </row>
    <row r="3441" spans="1:11" ht="42" customHeight="1">
      <c r="A3441" s="4" t="s">
        <v>8217</v>
      </c>
      <c r="B3441" s="5" t="s">
        <v>8218</v>
      </c>
      <c r="C3441" s="5" t="s">
        <v>17</v>
      </c>
      <c r="D3441" s="5" t="s">
        <v>18</v>
      </c>
      <c r="E3441" s="5" t="s">
        <v>421</v>
      </c>
      <c r="F3441" s="9">
        <v>47</v>
      </c>
      <c r="G3441" s="9">
        <v>527</v>
      </c>
      <c r="H3441" s="5" t="s">
        <v>20</v>
      </c>
      <c r="I3441" s="5" t="s">
        <v>8219</v>
      </c>
      <c r="J3441" s="12" t="str">
        <f>HYPERLINK("https://www.boe.es/gazeta/dias/1804/06/12/pdfs/GMD-1804-47.pdf#page=9","Abrir facsímil")</f>
        <v>Abrir facsímil</v>
      </c>
      <c r="K3441" s="15" t="s">
        <v>22</v>
      </c>
    </row>
    <row r="3442" spans="1:11" ht="42" customHeight="1">
      <c r="A3442" s="4" t="s">
        <v>8220</v>
      </c>
      <c r="B3442" s="5" t="s">
        <v>8220</v>
      </c>
      <c r="C3442" s="5" t="s">
        <v>65</v>
      </c>
      <c r="D3442" s="5" t="s">
        <v>66</v>
      </c>
      <c r="E3442" s="5" t="s">
        <v>350</v>
      </c>
      <c r="F3442" s="9">
        <v>19</v>
      </c>
      <c r="G3442" s="9">
        <v>209</v>
      </c>
      <c r="H3442" s="5" t="s">
        <v>20</v>
      </c>
      <c r="I3442" s="5" t="s">
        <v>8221</v>
      </c>
      <c r="J3442" s="12" t="str">
        <f>HYPERLINK("https://www.boe.es/gazeta/dias/1804/03/06/pdfs/GMD-1804-19.pdf#page=9","Abrir facsímil")</f>
        <v>Abrir facsímil</v>
      </c>
      <c r="K3442" s="15" t="s">
        <v>22</v>
      </c>
    </row>
    <row r="3443" spans="1:11" ht="42" customHeight="1">
      <c r="A3443" s="4" t="s">
        <v>8222</v>
      </c>
      <c r="B3443" s="5" t="s">
        <v>8222</v>
      </c>
      <c r="C3443" s="5" t="s">
        <v>65</v>
      </c>
      <c r="D3443" s="5" t="s">
        <v>66</v>
      </c>
      <c r="E3443" s="5" t="s">
        <v>75</v>
      </c>
      <c r="F3443" s="9">
        <v>16</v>
      </c>
      <c r="G3443" s="9">
        <v>173</v>
      </c>
      <c r="H3443" s="5" t="s">
        <v>20</v>
      </c>
      <c r="I3443" s="5" t="s">
        <v>8223</v>
      </c>
      <c r="J3443" s="12" t="str">
        <f>HYPERLINK("https://www.boe.es/gazeta/dias/1804/02/24/pdfs/GMD-1804-16.pdf#page=9","Abrir facsímil")</f>
        <v>Abrir facsímil</v>
      </c>
      <c r="K3443" s="15" t="s">
        <v>22</v>
      </c>
    </row>
    <row r="3444" spans="1:11" ht="42" customHeight="1">
      <c r="A3444" s="4" t="s">
        <v>8224</v>
      </c>
      <c r="B3444" s="5" t="s">
        <v>8224</v>
      </c>
      <c r="C3444" s="5" t="s">
        <v>27</v>
      </c>
      <c r="D3444" s="5" t="s">
        <v>28</v>
      </c>
      <c r="E3444" s="5" t="s">
        <v>81</v>
      </c>
      <c r="F3444" s="9">
        <v>98</v>
      </c>
      <c r="G3444" s="9">
        <v>1089</v>
      </c>
      <c r="H3444" s="5" t="s">
        <v>20</v>
      </c>
      <c r="I3444" s="5" t="s">
        <v>8225</v>
      </c>
      <c r="J3444" s="12" t="str">
        <f>HYPERLINK("https://www.boe.es/gazeta/dias/1804/12/07/pdfs/GMD-1804-98.pdf#page=5","Abrir facsímil")</f>
        <v>Abrir facsímil</v>
      </c>
      <c r="K3444" s="15" t="s">
        <v>22</v>
      </c>
    </row>
    <row r="3445" spans="1:11" ht="42" customHeight="1">
      <c r="A3445" s="4" t="s">
        <v>8226</v>
      </c>
      <c r="B3445" s="5" t="s">
        <v>8227</v>
      </c>
      <c r="C3445" s="5" t="s">
        <v>27</v>
      </c>
      <c r="D3445" s="5" t="s">
        <v>28</v>
      </c>
      <c r="E3445" s="5" t="s">
        <v>497</v>
      </c>
      <c r="F3445" s="9">
        <v>25</v>
      </c>
      <c r="G3445" s="9">
        <v>282</v>
      </c>
      <c r="H3445" s="5" t="s">
        <v>20</v>
      </c>
      <c r="I3445" s="5" t="s">
        <v>8228</v>
      </c>
      <c r="J3445" s="12" t="str">
        <f>HYPERLINK("https://www.boe.es/gazeta/dias/1804/03/27/pdfs/GMD-1804-25.pdf#page=4","Abrir facsímil")</f>
        <v>Abrir facsímil</v>
      </c>
      <c r="K3445" s="15" t="s">
        <v>22</v>
      </c>
    </row>
    <row r="3446" spans="1:11" ht="42" customHeight="1">
      <c r="A3446" s="4" t="s">
        <v>8226</v>
      </c>
      <c r="B3446" s="5" t="s">
        <v>8227</v>
      </c>
      <c r="C3446" s="5" t="s">
        <v>57</v>
      </c>
      <c r="D3446" s="5" t="s">
        <v>58</v>
      </c>
      <c r="E3446" s="5" t="s">
        <v>230</v>
      </c>
      <c r="F3446" s="9">
        <v>26</v>
      </c>
      <c r="G3446" s="9">
        <v>291</v>
      </c>
      <c r="H3446" s="5" t="s">
        <v>20</v>
      </c>
      <c r="I3446" s="5" t="s">
        <v>8229</v>
      </c>
      <c r="J3446" s="12" t="str">
        <f>HYPERLINK("https://www.boe.es/gazeta/dias/1804/03/30/pdfs/GMD-1804-26.pdf#page=5","Abrir facsímil")</f>
        <v>Abrir facsímil</v>
      </c>
      <c r="K3446" s="15" t="s">
        <v>22</v>
      </c>
    </row>
    <row r="3447" spans="1:11" ht="42" customHeight="1">
      <c r="A3447" s="4" t="s">
        <v>8226</v>
      </c>
      <c r="B3447" s="5" t="s">
        <v>8227</v>
      </c>
      <c r="C3447" s="5" t="s">
        <v>57</v>
      </c>
      <c r="D3447" s="5" t="s">
        <v>58</v>
      </c>
      <c r="E3447" s="5" t="s">
        <v>538</v>
      </c>
      <c r="F3447" s="9">
        <v>27</v>
      </c>
      <c r="G3447" s="9">
        <v>299</v>
      </c>
      <c r="H3447" s="5" t="s">
        <v>20</v>
      </c>
      <c r="I3447" s="5" t="s">
        <v>8230</v>
      </c>
      <c r="J3447" s="12" t="str">
        <f>HYPERLINK("https://www.boe.es/gazeta/dias/1804/04/03/pdfs/GMD-1804-27.pdf#page=5","Abrir facsímil")</f>
        <v>Abrir facsímil</v>
      </c>
      <c r="K3447" s="15" t="s">
        <v>22</v>
      </c>
    </row>
    <row r="3448" spans="1:11" ht="42" customHeight="1">
      <c r="A3448" s="4" t="s">
        <v>8231</v>
      </c>
      <c r="B3448" s="5" t="s">
        <v>8232</v>
      </c>
      <c r="C3448" s="5" t="s">
        <v>57</v>
      </c>
      <c r="D3448" s="5" t="s">
        <v>58</v>
      </c>
      <c r="E3448" s="5" t="s">
        <v>857</v>
      </c>
      <c r="F3448" s="9">
        <v>28</v>
      </c>
      <c r="G3448" s="9">
        <v>305</v>
      </c>
      <c r="H3448" s="5" t="s">
        <v>20</v>
      </c>
      <c r="I3448" s="5" t="s">
        <v>8233</v>
      </c>
      <c r="J3448" s="12" t="str">
        <f>HYPERLINK("https://www.boe.es/gazeta/dias/1804/04/06/pdfs/GMD-1804-28.pdf#page=3","Abrir facsímil")</f>
        <v>Abrir facsímil</v>
      </c>
      <c r="K3448" s="15" t="s">
        <v>22</v>
      </c>
    </row>
    <row r="3449" spans="1:11" ht="42" customHeight="1">
      <c r="A3449" s="4" t="s">
        <v>8226</v>
      </c>
      <c r="B3449" s="5" t="s">
        <v>8227</v>
      </c>
      <c r="C3449" s="5" t="s">
        <v>198</v>
      </c>
      <c r="D3449" s="5" t="s">
        <v>66</v>
      </c>
      <c r="E3449" s="5" t="s">
        <v>320</v>
      </c>
      <c r="F3449" s="9">
        <v>31</v>
      </c>
      <c r="G3449" s="9">
        <v>337</v>
      </c>
      <c r="H3449" s="5" t="s">
        <v>20</v>
      </c>
      <c r="I3449" s="5" t="s">
        <v>8234</v>
      </c>
      <c r="J3449" s="12" t="str">
        <f>HYPERLINK("https://www.boe.es/gazeta/dias/1804/04/17/pdfs/GMD-1804-31.pdf#page=3","Abrir facsímil")</f>
        <v>Abrir facsímil</v>
      </c>
      <c r="K3449" s="15" t="s">
        <v>22</v>
      </c>
    </row>
    <row r="3450" spans="1:11" ht="42" customHeight="1">
      <c r="A3450" s="4" t="s">
        <v>8226</v>
      </c>
      <c r="B3450" s="5" t="s">
        <v>8227</v>
      </c>
      <c r="C3450" s="5" t="s">
        <v>17</v>
      </c>
      <c r="D3450" s="5" t="s">
        <v>18</v>
      </c>
      <c r="E3450" s="5" t="s">
        <v>106</v>
      </c>
      <c r="F3450" s="9">
        <v>34</v>
      </c>
      <c r="G3450" s="9">
        <v>375</v>
      </c>
      <c r="H3450" s="5" t="s">
        <v>20</v>
      </c>
      <c r="I3450" s="5" t="s">
        <v>8235</v>
      </c>
      <c r="J3450" s="12" t="str">
        <f>HYPERLINK("https://www.boe.es/gazeta/dias/1804/04/27/pdfs/GMD-1804-34.pdf#page=5","Abrir facsímil")</f>
        <v>Abrir facsímil</v>
      </c>
      <c r="K3450" s="15" t="s">
        <v>22</v>
      </c>
    </row>
    <row r="3451" spans="1:11" ht="42" customHeight="1">
      <c r="A3451" s="4" t="s">
        <v>8226</v>
      </c>
      <c r="B3451" s="5" t="s">
        <v>8227</v>
      </c>
      <c r="C3451" s="5" t="s">
        <v>85</v>
      </c>
      <c r="D3451" s="5" t="s">
        <v>86</v>
      </c>
      <c r="E3451" s="5" t="s">
        <v>670</v>
      </c>
      <c r="F3451" s="9">
        <v>41</v>
      </c>
      <c r="G3451" s="9">
        <v>454</v>
      </c>
      <c r="H3451" s="5" t="s">
        <v>20</v>
      </c>
      <c r="I3451" s="5" t="s">
        <v>8236</v>
      </c>
      <c r="J3451" s="12" t="str">
        <f>HYPERLINK("https://www.boe.es/gazeta/dias/1804/05/22/pdfs/GMD-1804-41.pdf#page=4","Abrir facsímil")</f>
        <v>Abrir facsímil</v>
      </c>
      <c r="K3451" s="15" t="s">
        <v>22</v>
      </c>
    </row>
    <row r="3452" spans="1:11" ht="42" customHeight="1">
      <c r="A3452" s="4" t="s">
        <v>8226</v>
      </c>
      <c r="B3452" s="5" t="s">
        <v>8227</v>
      </c>
      <c r="C3452" s="5" t="s">
        <v>57</v>
      </c>
      <c r="D3452" s="5" t="s">
        <v>58</v>
      </c>
      <c r="E3452" s="5" t="s">
        <v>800</v>
      </c>
      <c r="F3452" s="9">
        <v>45</v>
      </c>
      <c r="G3452" s="9">
        <v>495</v>
      </c>
      <c r="H3452" s="5" t="s">
        <v>20</v>
      </c>
      <c r="I3452" s="5" t="s">
        <v>8237</v>
      </c>
      <c r="J3452" s="12" t="str">
        <f>HYPERLINK("https://www.boe.es/gazeta/dias/1804/06/05/pdfs/GMD-1804-45.pdf#page=5","Abrir facsímil")</f>
        <v>Abrir facsímil</v>
      </c>
      <c r="K3452" s="15" t="s">
        <v>22</v>
      </c>
    </row>
    <row r="3453" spans="1:11" ht="42" customHeight="1">
      <c r="A3453" s="4" t="s">
        <v>8226</v>
      </c>
      <c r="B3453" s="5" t="s">
        <v>8227</v>
      </c>
      <c r="C3453" s="5" t="s">
        <v>198</v>
      </c>
      <c r="D3453" s="5" t="s">
        <v>66</v>
      </c>
      <c r="E3453" s="5" t="s">
        <v>317</v>
      </c>
      <c r="F3453" s="9">
        <v>56</v>
      </c>
      <c r="G3453" s="9">
        <v>618</v>
      </c>
      <c r="H3453" s="5" t="s">
        <v>20</v>
      </c>
      <c r="I3453" s="5" t="s">
        <v>8238</v>
      </c>
      <c r="J3453" s="12" t="str">
        <f>HYPERLINK("https://www.boe.es/gazeta/dias/1804/07/13/pdfs/GMD-1804-56.pdf#page=4","Abrir facsímil")</f>
        <v>Abrir facsímil</v>
      </c>
      <c r="K3453" s="15" t="s">
        <v>22</v>
      </c>
    </row>
    <row r="3454" spans="1:11" ht="42" customHeight="1">
      <c r="A3454" s="4" t="s">
        <v>8226</v>
      </c>
      <c r="B3454" s="5" t="s">
        <v>8227</v>
      </c>
      <c r="C3454" s="5" t="s">
        <v>57</v>
      </c>
      <c r="D3454" s="5" t="s">
        <v>58</v>
      </c>
      <c r="E3454" s="5" t="s">
        <v>216</v>
      </c>
      <c r="F3454" s="9">
        <v>67</v>
      </c>
      <c r="G3454" s="9">
        <v>746</v>
      </c>
      <c r="H3454" s="5" t="s">
        <v>20</v>
      </c>
      <c r="I3454" s="5" t="s">
        <v>8239</v>
      </c>
      <c r="J3454" s="12" t="str">
        <f>HYPERLINK("https://www.boe.es/gazeta/dias/1804/08/21/pdfs/GMD-1804-67.pdf#page=4","Abrir facsímil")</f>
        <v>Abrir facsímil</v>
      </c>
      <c r="K3454" s="15" t="s">
        <v>22</v>
      </c>
    </row>
    <row r="3455" spans="1:11" ht="42" customHeight="1">
      <c r="A3455" s="4" t="s">
        <v>8226</v>
      </c>
      <c r="B3455" s="5" t="s">
        <v>8227</v>
      </c>
      <c r="C3455" s="5" t="s">
        <v>57</v>
      </c>
      <c r="D3455" s="5" t="s">
        <v>58</v>
      </c>
      <c r="E3455" s="5" t="s">
        <v>326</v>
      </c>
      <c r="F3455" s="9">
        <v>69</v>
      </c>
      <c r="G3455" s="9">
        <v>771</v>
      </c>
      <c r="H3455" s="5" t="s">
        <v>20</v>
      </c>
      <c r="I3455" s="5" t="s">
        <v>8240</v>
      </c>
      <c r="J3455" s="12" t="str">
        <f>HYPERLINK("https://www.boe.es/gazeta/dias/1804/08/28/pdfs/GMD-1804-69.pdf#page=5","Abrir facsímil")</f>
        <v>Abrir facsímil</v>
      </c>
      <c r="K3455" s="15" t="s">
        <v>22</v>
      </c>
    </row>
    <row r="3456" spans="1:11" ht="42" customHeight="1">
      <c r="A3456" s="4" t="s">
        <v>8226</v>
      </c>
      <c r="B3456" s="5" t="s">
        <v>8227</v>
      </c>
      <c r="C3456" s="5" t="s">
        <v>57</v>
      </c>
      <c r="D3456" s="5" t="s">
        <v>58</v>
      </c>
      <c r="E3456" s="5" t="s">
        <v>1095</v>
      </c>
      <c r="F3456" s="9">
        <v>73</v>
      </c>
      <c r="G3456" s="9">
        <v>811</v>
      </c>
      <c r="H3456" s="5" t="s">
        <v>20</v>
      </c>
      <c r="I3456" s="5" t="s">
        <v>8241</v>
      </c>
      <c r="J3456" s="12" t="str">
        <f>HYPERLINK("https://www.boe.es/gazeta/dias/1804/09/11/pdfs/GMD-1804-73.pdf#page=1","Abrir facsímil")</f>
        <v>Abrir facsímil</v>
      </c>
      <c r="K3456" s="15" t="s">
        <v>22</v>
      </c>
    </row>
    <row r="3457" spans="1:11" ht="42" customHeight="1">
      <c r="A3457" s="4" t="s">
        <v>8226</v>
      </c>
      <c r="B3457" s="5" t="s">
        <v>8227</v>
      </c>
      <c r="C3457" s="5" t="s">
        <v>57</v>
      </c>
      <c r="D3457" s="5" t="s">
        <v>58</v>
      </c>
      <c r="E3457" s="5" t="s">
        <v>637</v>
      </c>
      <c r="F3457" s="9">
        <v>74</v>
      </c>
      <c r="G3457" s="9">
        <v>826</v>
      </c>
      <c r="H3457" s="5" t="s">
        <v>20</v>
      </c>
      <c r="I3457" s="5" t="s">
        <v>8242</v>
      </c>
      <c r="J3457" s="12" t="str">
        <f>HYPERLINK("https://www.boe.es/gazeta/dias/1804/09/14/pdfs/GMD-1804-74.pdf#page=4","Abrir facsímil")</f>
        <v>Abrir facsímil</v>
      </c>
      <c r="K3457" s="15" t="s">
        <v>22</v>
      </c>
    </row>
    <row r="3458" spans="1:11" ht="42" customHeight="1">
      <c r="A3458" s="4" t="s">
        <v>8226</v>
      </c>
      <c r="B3458" s="5" t="s">
        <v>8227</v>
      </c>
      <c r="C3458" s="5" t="s">
        <v>57</v>
      </c>
      <c r="D3458" s="5" t="s">
        <v>58</v>
      </c>
      <c r="E3458" s="5" t="s">
        <v>147</v>
      </c>
      <c r="F3458" s="9">
        <v>77</v>
      </c>
      <c r="G3458" s="9">
        <v>854</v>
      </c>
      <c r="H3458" s="5" t="s">
        <v>20</v>
      </c>
      <c r="I3458" s="5" t="s">
        <v>8243</v>
      </c>
      <c r="J3458" s="12" t="str">
        <f>HYPERLINK("https://www.boe.es/gazeta/dias/1804/09/25/pdfs/GMD-1804-77.pdf#page=4","Abrir facsímil")</f>
        <v>Abrir facsímil</v>
      </c>
      <c r="K3458" s="15" t="s">
        <v>22</v>
      </c>
    </row>
    <row r="3459" spans="1:11" ht="42" customHeight="1">
      <c r="A3459" s="4" t="s">
        <v>8226</v>
      </c>
      <c r="B3459" s="5" t="s">
        <v>8227</v>
      </c>
      <c r="C3459" s="5" t="s">
        <v>57</v>
      </c>
      <c r="D3459" s="5" t="s">
        <v>58</v>
      </c>
      <c r="E3459" s="5" t="s">
        <v>251</v>
      </c>
      <c r="F3459" s="9">
        <v>79</v>
      </c>
      <c r="G3459" s="9">
        <v>874</v>
      </c>
      <c r="H3459" s="5" t="s">
        <v>20</v>
      </c>
      <c r="I3459" s="5" t="s">
        <v>8244</v>
      </c>
      <c r="J3459" s="12" t="str">
        <f>HYPERLINK("https://www.boe.es/gazeta/dias/1804/10/02/pdfs/GMD-1804-79.pdf#page=4","Abrir facsímil")</f>
        <v>Abrir facsímil</v>
      </c>
      <c r="K3459" s="15" t="s">
        <v>22</v>
      </c>
    </row>
    <row r="3460" spans="1:11" ht="42" customHeight="1">
      <c r="A3460" s="4" t="s">
        <v>8226</v>
      </c>
      <c r="B3460" s="5" t="s">
        <v>8227</v>
      </c>
      <c r="C3460" s="5" t="s">
        <v>57</v>
      </c>
      <c r="D3460" s="5" t="s">
        <v>58</v>
      </c>
      <c r="E3460" s="5" t="s">
        <v>709</v>
      </c>
      <c r="F3460" s="9">
        <v>82</v>
      </c>
      <c r="G3460" s="9">
        <v>902</v>
      </c>
      <c r="H3460" s="5" t="s">
        <v>20</v>
      </c>
      <c r="I3460" s="5" t="s">
        <v>8245</v>
      </c>
      <c r="J3460" s="12" t="str">
        <f>HYPERLINK("https://www.boe.es/gazeta/dias/1804/10/12/pdfs/GMD-1804-82.pdf#page=4","Abrir facsímil")</f>
        <v>Abrir facsímil</v>
      </c>
      <c r="K3460" s="15" t="s">
        <v>22</v>
      </c>
    </row>
    <row r="3461" spans="1:11" ht="42" customHeight="1">
      <c r="A3461" s="4" t="s">
        <v>8226</v>
      </c>
      <c r="B3461" s="5" t="s">
        <v>8227</v>
      </c>
      <c r="C3461" s="5" t="s">
        <v>17</v>
      </c>
      <c r="D3461" s="5" t="s">
        <v>18</v>
      </c>
      <c r="E3461" s="5" t="s">
        <v>143</v>
      </c>
      <c r="F3461" s="9">
        <v>87</v>
      </c>
      <c r="G3461" s="9">
        <v>960</v>
      </c>
      <c r="H3461" s="5" t="s">
        <v>20</v>
      </c>
      <c r="I3461" s="5" t="s">
        <v>8246</v>
      </c>
      <c r="J3461" s="12" t="str">
        <f>HYPERLINK("https://www.boe.es/gazeta/dias/1804/10/30/pdfs/GMD-1804-87.pdf#page=4","Abrir facsímil")</f>
        <v>Abrir facsímil</v>
      </c>
      <c r="K3461" s="15" t="s">
        <v>22</v>
      </c>
    </row>
    <row r="3462" spans="1:11" ht="42" customHeight="1">
      <c r="A3462" s="4" t="s">
        <v>8226</v>
      </c>
      <c r="B3462" s="5" t="s">
        <v>8227</v>
      </c>
      <c r="C3462" s="5" t="s">
        <v>17</v>
      </c>
      <c r="D3462" s="5" t="s">
        <v>18</v>
      </c>
      <c r="E3462" s="5" t="s">
        <v>950</v>
      </c>
      <c r="F3462" s="9">
        <v>90</v>
      </c>
      <c r="G3462" s="9">
        <v>997</v>
      </c>
      <c r="H3462" s="5" t="s">
        <v>20</v>
      </c>
      <c r="I3462" s="5" t="s">
        <v>8247</v>
      </c>
      <c r="J3462" s="12" t="str">
        <f>HYPERLINK("https://www.boe.es/gazeta/dias/1804/11/09/pdfs/GMD-1804-90.pdf#page=5","Abrir facsímil")</f>
        <v>Abrir facsímil</v>
      </c>
      <c r="K3462" s="15" t="s">
        <v>22</v>
      </c>
    </row>
    <row r="3463" spans="1:11" ht="42" customHeight="1">
      <c r="A3463" s="4" t="s">
        <v>8248</v>
      </c>
      <c r="B3463" s="5" t="s">
        <v>8249</v>
      </c>
      <c r="C3463" s="5" t="s">
        <v>57</v>
      </c>
      <c r="D3463" s="5" t="s">
        <v>58</v>
      </c>
      <c r="E3463" s="5" t="s">
        <v>67</v>
      </c>
      <c r="F3463" s="9">
        <v>59</v>
      </c>
      <c r="G3463" s="9">
        <v>649</v>
      </c>
      <c r="H3463" s="5" t="s">
        <v>20</v>
      </c>
      <c r="I3463" s="5" t="s">
        <v>8250</v>
      </c>
      <c r="J3463" s="12" t="str">
        <f>HYPERLINK("https://www.boe.es/gazeta/dias/1804/07/24/pdfs/GMD-1804-59.pdf#page=3","Abrir facsímil")</f>
        <v>Abrir facsímil</v>
      </c>
      <c r="K3463" s="15" t="s">
        <v>22</v>
      </c>
    </row>
    <row r="3464" spans="1:11" ht="42" customHeight="1">
      <c r="A3464" s="4" t="s">
        <v>8251</v>
      </c>
      <c r="B3464" s="5" t="s">
        <v>8252</v>
      </c>
      <c r="C3464" s="5" t="s">
        <v>27</v>
      </c>
      <c r="D3464" s="5" t="s">
        <v>28</v>
      </c>
      <c r="E3464" s="5" t="s">
        <v>43</v>
      </c>
      <c r="F3464" s="9">
        <v>84</v>
      </c>
      <c r="G3464" s="9">
        <v>928</v>
      </c>
      <c r="H3464" s="5" t="s">
        <v>20</v>
      </c>
      <c r="I3464" s="5" t="s">
        <v>8253</v>
      </c>
      <c r="J3464" s="12" t="str">
        <f>HYPERLINK("https://www.boe.es/gazeta/dias/1804/10/19/pdfs/GMD-1804-84.pdf#page=6","Abrir facsímil")</f>
        <v>Abrir facsímil</v>
      </c>
      <c r="K3464" s="15" t="s">
        <v>22</v>
      </c>
    </row>
    <row r="3465" spans="1:11" ht="42" customHeight="1">
      <c r="A3465" s="4" t="s">
        <v>8254</v>
      </c>
      <c r="B3465" s="5" t="s">
        <v>8255</v>
      </c>
      <c r="C3465" s="5" t="s">
        <v>27</v>
      </c>
      <c r="D3465" s="5" t="s">
        <v>28</v>
      </c>
      <c r="E3465" s="5" t="s">
        <v>199</v>
      </c>
      <c r="F3465" s="9">
        <v>46</v>
      </c>
      <c r="G3465" s="9">
        <v>512</v>
      </c>
      <c r="H3465" s="5" t="s">
        <v>20</v>
      </c>
      <c r="I3465" s="5" t="s">
        <v>8256</v>
      </c>
      <c r="J3465" s="12" t="str">
        <f>HYPERLINK("https://www.boe.es/gazeta/dias/1804/06/08/pdfs/GMD-1804-46.pdf#page=10","Abrir facsímil")</f>
        <v>Abrir facsímil</v>
      </c>
      <c r="K3465" s="15" t="s">
        <v>22</v>
      </c>
    </row>
    <row r="3466" spans="1:11" ht="42" customHeight="1">
      <c r="A3466" s="4" t="s">
        <v>8257</v>
      </c>
      <c r="B3466" s="5" t="s">
        <v>8258</v>
      </c>
      <c r="C3466" s="5" t="s">
        <v>17</v>
      </c>
      <c r="D3466" s="5" t="s">
        <v>18</v>
      </c>
      <c r="E3466" s="5" t="s">
        <v>794</v>
      </c>
      <c r="F3466" s="9">
        <v>42</v>
      </c>
      <c r="G3466" s="9">
        <v>471</v>
      </c>
      <c r="H3466" s="5" t="s">
        <v>20</v>
      </c>
      <c r="I3466" s="5" t="s">
        <v>8259</v>
      </c>
      <c r="J3466" s="12" t="str">
        <f>HYPERLINK("https://www.boe.es/gazeta/dias/1804/05/25/pdfs/GMD-1804-42.pdf#page=9","Abrir facsímil")</f>
        <v>Abrir facsímil</v>
      </c>
      <c r="K3466" s="15" t="s">
        <v>22</v>
      </c>
    </row>
    <row r="3467" spans="1:11" ht="42" customHeight="1">
      <c r="A3467" s="4" t="s">
        <v>8260</v>
      </c>
      <c r="B3467" s="5" t="s">
        <v>8260</v>
      </c>
      <c r="C3467" s="5" t="s">
        <v>27</v>
      </c>
      <c r="D3467" s="5" t="s">
        <v>28</v>
      </c>
      <c r="E3467" s="5" t="s">
        <v>77</v>
      </c>
      <c r="F3467" s="9">
        <v>32</v>
      </c>
      <c r="G3467" s="9">
        <v>348</v>
      </c>
      <c r="H3467" s="5" t="s">
        <v>20</v>
      </c>
      <c r="I3467" s="5" t="s">
        <v>8261</v>
      </c>
      <c r="J3467" s="12" t="str">
        <f>HYPERLINK("https://www.boe.es/gazeta/dias/1804/04/20/pdfs/GMD-1804-32.pdf#page=2","Abrir facsímil")</f>
        <v>Abrir facsímil</v>
      </c>
      <c r="K3467" s="15" t="s">
        <v>22</v>
      </c>
    </row>
    <row r="3468" spans="1:11" ht="42" customHeight="1">
      <c r="A3468" s="4" t="s">
        <v>8262</v>
      </c>
      <c r="B3468" s="5" t="s">
        <v>8263</v>
      </c>
      <c r="C3468" s="5" t="s">
        <v>57</v>
      </c>
      <c r="D3468" s="5" t="s">
        <v>58</v>
      </c>
      <c r="E3468" s="5" t="s">
        <v>147</v>
      </c>
      <c r="F3468" s="9">
        <v>77</v>
      </c>
      <c r="G3468" s="9">
        <v>856</v>
      </c>
      <c r="H3468" s="5" t="s">
        <v>20</v>
      </c>
      <c r="I3468" s="5" t="s">
        <v>8264</v>
      </c>
      <c r="J3468" s="12" t="str">
        <f>HYPERLINK("https://www.boe.es/gazeta/dias/1804/09/25/pdfs/GMD-1804-77.pdf#page=6","Abrir facsímil")</f>
        <v>Abrir facsímil</v>
      </c>
      <c r="K3468" s="15" t="s">
        <v>22</v>
      </c>
    </row>
    <row r="3469" spans="1:11" ht="42" customHeight="1">
      <c r="A3469" s="4" t="s">
        <v>8265</v>
      </c>
      <c r="B3469" s="5" t="s">
        <v>8265</v>
      </c>
      <c r="C3469" s="5" t="s">
        <v>27</v>
      </c>
      <c r="D3469" s="5" t="s">
        <v>28</v>
      </c>
      <c r="E3469" s="5" t="s">
        <v>155</v>
      </c>
      <c r="F3469" s="9">
        <v>92</v>
      </c>
      <c r="G3469" s="9">
        <v>1013</v>
      </c>
      <c r="H3469" s="5" t="s">
        <v>20</v>
      </c>
      <c r="I3469" s="5" t="s">
        <v>8266</v>
      </c>
      <c r="J3469" s="12" t="str">
        <f>HYPERLINK("https://www.boe.es/gazeta/dias/1804/11/16/pdfs/GMD-1804-92.pdf#page=1","Abrir facsímil")</f>
        <v>Abrir facsímil</v>
      </c>
      <c r="K3469" s="15" t="s">
        <v>22</v>
      </c>
    </row>
    <row r="3470" spans="1:11" ht="42" customHeight="1">
      <c r="A3470" s="4" t="s">
        <v>8267</v>
      </c>
      <c r="B3470" s="5" t="s">
        <v>8267</v>
      </c>
      <c r="C3470" s="5" t="s">
        <v>57</v>
      </c>
      <c r="D3470" s="5" t="s">
        <v>58</v>
      </c>
      <c r="E3470" s="5" t="s">
        <v>542</v>
      </c>
      <c r="F3470" s="9">
        <v>54</v>
      </c>
      <c r="G3470" s="9">
        <v>597</v>
      </c>
      <c r="H3470" s="5" t="s">
        <v>20</v>
      </c>
      <c r="I3470" s="5" t="s">
        <v>8268</v>
      </c>
      <c r="J3470" s="12" t="str">
        <f>HYPERLINK("https://www.boe.es/gazeta/dias/1804/07/06/pdfs/GMD-1804-54.pdf#page=3","Abrir facsímil")</f>
        <v>Abrir facsímil</v>
      </c>
      <c r="K3470" s="15" t="s">
        <v>22</v>
      </c>
    </row>
    <row r="3471" spans="1:11" ht="42" customHeight="1">
      <c r="A3471" s="4" t="s">
        <v>8267</v>
      </c>
      <c r="B3471" s="5" t="s">
        <v>8267</v>
      </c>
      <c r="C3471" s="5" t="s">
        <v>65</v>
      </c>
      <c r="D3471" s="5" t="s">
        <v>66</v>
      </c>
      <c r="E3471" s="5" t="s">
        <v>19</v>
      </c>
      <c r="F3471" s="9">
        <v>60</v>
      </c>
      <c r="G3471" s="9">
        <v>663</v>
      </c>
      <c r="H3471" s="5" t="s">
        <v>20</v>
      </c>
      <c r="I3471" s="5" t="s">
        <v>8269</v>
      </c>
      <c r="J3471" s="12" t="str">
        <f>HYPERLINK("https://www.boe.es/gazeta/dias/1804/07/27/pdfs/GMD-1804-60.pdf#page=5","Abrir facsímil")</f>
        <v>Abrir facsímil</v>
      </c>
      <c r="K3471" s="15" t="s">
        <v>22</v>
      </c>
    </row>
    <row r="3472" spans="1:11" ht="42" customHeight="1">
      <c r="A3472" s="4" t="s">
        <v>8267</v>
      </c>
      <c r="B3472" s="5" t="s">
        <v>8267</v>
      </c>
      <c r="C3472" s="5" t="s">
        <v>27</v>
      </c>
      <c r="D3472" s="5" t="s">
        <v>28</v>
      </c>
      <c r="E3472" s="5" t="s">
        <v>637</v>
      </c>
      <c r="F3472" s="9">
        <v>74</v>
      </c>
      <c r="G3472" s="9">
        <v>826</v>
      </c>
      <c r="H3472" s="5" t="s">
        <v>20</v>
      </c>
      <c r="I3472" s="5" t="s">
        <v>8270</v>
      </c>
      <c r="J3472" s="12" t="str">
        <f>HYPERLINK("https://www.boe.es/gazeta/dias/1804/09/14/pdfs/GMD-1804-74.pdf#page=4","Abrir facsímil")</f>
        <v>Abrir facsímil</v>
      </c>
      <c r="K3472" s="15" t="s">
        <v>22</v>
      </c>
    </row>
    <row r="3473" spans="1:11" ht="42" customHeight="1">
      <c r="A3473" s="4" t="s">
        <v>8271</v>
      </c>
      <c r="B3473" s="5" t="s">
        <v>8271</v>
      </c>
      <c r="C3473" s="5" t="s">
        <v>57</v>
      </c>
      <c r="D3473" s="5" t="s">
        <v>58</v>
      </c>
      <c r="E3473" s="5" t="s">
        <v>427</v>
      </c>
      <c r="F3473" s="9">
        <v>80</v>
      </c>
      <c r="G3473" s="9">
        <v>887</v>
      </c>
      <c r="H3473" s="5" t="s">
        <v>20</v>
      </c>
      <c r="I3473" s="5" t="s">
        <v>8272</v>
      </c>
      <c r="J3473" s="12" t="str">
        <f>HYPERLINK("https://www.boe.es/gazeta/dias/1804/10/05/pdfs/GMD-1804-80.pdf#page=5","Abrir facsímil")</f>
        <v>Abrir facsímil</v>
      </c>
      <c r="K3473" s="15" t="s">
        <v>22</v>
      </c>
    </row>
    <row r="3474" spans="1:11" ht="42" customHeight="1">
      <c r="A3474" s="4" t="s">
        <v>8273</v>
      </c>
      <c r="B3474" s="5" t="s">
        <v>8274</v>
      </c>
      <c r="C3474" s="5" t="s">
        <v>17</v>
      </c>
      <c r="D3474" s="5" t="s">
        <v>18</v>
      </c>
      <c r="E3474" s="5" t="s">
        <v>71</v>
      </c>
      <c r="F3474" s="9">
        <v>99</v>
      </c>
      <c r="G3474" s="9">
        <v>1107</v>
      </c>
      <c r="H3474" s="5" t="s">
        <v>20</v>
      </c>
      <c r="I3474" s="5" t="s">
        <v>8275</v>
      </c>
      <c r="J3474" s="12" t="str">
        <f>HYPERLINK("https://www.boe.es/gazeta/dias/1804/12/11/pdfs/GMD-1804-99.pdf#page=7","Abrir facsímil")</f>
        <v>Abrir facsímil</v>
      </c>
      <c r="K3474" s="15" t="s">
        <v>22</v>
      </c>
    </row>
    <row r="3475" spans="1:11" ht="42" customHeight="1">
      <c r="A3475" s="4" t="s">
        <v>8276</v>
      </c>
      <c r="B3475" s="5" t="s">
        <v>8276</v>
      </c>
      <c r="C3475" s="5" t="s">
        <v>85</v>
      </c>
      <c r="D3475" s="5" t="s">
        <v>86</v>
      </c>
      <c r="E3475" s="5" t="s">
        <v>704</v>
      </c>
      <c r="F3475" s="9">
        <v>36</v>
      </c>
      <c r="G3475" s="9">
        <v>398</v>
      </c>
      <c r="H3475" s="5" t="s">
        <v>20</v>
      </c>
      <c r="I3475" s="5" t="s">
        <v>8277</v>
      </c>
      <c r="J3475" s="12" t="str">
        <f>HYPERLINK("https://www.boe.es/gazeta/dias/1804/05/04/pdfs/GMD-1804-36.pdf#page=8","Abrir facsímil")</f>
        <v>Abrir facsímil</v>
      </c>
      <c r="K3475" s="15" t="s">
        <v>22</v>
      </c>
    </row>
    <row r="3476" spans="1:11" ht="42" customHeight="1">
      <c r="A3476" s="4" t="s">
        <v>8278</v>
      </c>
      <c r="B3476" s="5" t="s">
        <v>8279</v>
      </c>
      <c r="C3476" s="5" t="s">
        <v>27</v>
      </c>
      <c r="D3476" s="5" t="s">
        <v>28</v>
      </c>
      <c r="E3476" s="5" t="s">
        <v>264</v>
      </c>
      <c r="F3476" s="9">
        <v>49</v>
      </c>
      <c r="G3476" s="9">
        <v>544</v>
      </c>
      <c r="H3476" s="5" t="s">
        <v>20</v>
      </c>
      <c r="I3476" s="5" t="s">
        <v>8280</v>
      </c>
      <c r="J3476" s="12" t="str">
        <f>HYPERLINK("https://www.boe.es/gazeta/dias/1804/06/19/pdfs/GMD-1804-49.pdf#page=6","Abrir facsímil")</f>
        <v>Abrir facsímil</v>
      </c>
      <c r="K3476" s="15" t="s">
        <v>22</v>
      </c>
    </row>
    <row r="3477" spans="1:11" ht="42" customHeight="1">
      <c r="A3477" s="4" t="s">
        <v>8281</v>
      </c>
      <c r="B3477" s="5" t="s">
        <v>8282</v>
      </c>
      <c r="C3477" s="5" t="s">
        <v>17</v>
      </c>
      <c r="D3477" s="5" t="s">
        <v>18</v>
      </c>
      <c r="E3477" s="5" t="s">
        <v>272</v>
      </c>
      <c r="F3477" s="9">
        <v>30</v>
      </c>
      <c r="G3477" s="9">
        <v>330</v>
      </c>
      <c r="H3477" s="5" t="s">
        <v>20</v>
      </c>
      <c r="I3477" s="5" t="s">
        <v>8283</v>
      </c>
      <c r="J3477" s="12" t="str">
        <f>HYPERLINK("https://www.boe.es/gazeta/dias/1804/04/13/pdfs/GMD-1804-30.pdf#page=8","Abrir facsímil")</f>
        <v>Abrir facsímil</v>
      </c>
      <c r="K3477" s="15" t="s">
        <v>22</v>
      </c>
    </row>
    <row r="3478" spans="1:11" ht="42" customHeight="1">
      <c r="A3478" s="4" t="s">
        <v>8284</v>
      </c>
      <c r="B3478" s="5" t="s">
        <v>8285</v>
      </c>
      <c r="C3478" s="5" t="s">
        <v>17</v>
      </c>
      <c r="D3478" s="5" t="s">
        <v>18</v>
      </c>
      <c r="E3478" s="5" t="s">
        <v>466</v>
      </c>
      <c r="F3478" s="9">
        <v>76</v>
      </c>
      <c r="G3478" s="9">
        <v>850</v>
      </c>
      <c r="H3478" s="5" t="s">
        <v>20</v>
      </c>
      <c r="I3478" s="5" t="s">
        <v>8286</v>
      </c>
      <c r="J3478" s="12" t="str">
        <f>HYPERLINK("https://www.boe.es/gazeta/dias/1804/09/21/pdfs/GMD-1804-76.pdf#page=8","Abrir facsímil")</f>
        <v>Abrir facsímil</v>
      </c>
      <c r="K3478" s="15" t="s">
        <v>22</v>
      </c>
    </row>
    <row r="3479" spans="1:11" ht="42" customHeight="1">
      <c r="A3479" s="4" t="s">
        <v>8287</v>
      </c>
      <c r="B3479" s="5" t="s">
        <v>8288</v>
      </c>
      <c r="C3479" s="5" t="s">
        <v>27</v>
      </c>
      <c r="D3479" s="5" t="s">
        <v>28</v>
      </c>
      <c r="E3479" s="5" t="s">
        <v>308</v>
      </c>
      <c r="F3479" s="9">
        <v>96</v>
      </c>
      <c r="G3479" s="9">
        <v>1067</v>
      </c>
      <c r="H3479" s="5" t="s">
        <v>20</v>
      </c>
      <c r="I3479" s="5" t="s">
        <v>8289</v>
      </c>
      <c r="J3479" s="12" t="str">
        <f>HYPERLINK("https://www.boe.es/gazeta/dias/1804/11/30/pdfs/GMD-1804-96.pdf#page=7","Abrir facsímil")</f>
        <v>Abrir facsímil</v>
      </c>
      <c r="K3479" s="15" t="s">
        <v>22</v>
      </c>
    </row>
    <row r="3480" spans="1:11" ht="42" customHeight="1">
      <c r="A3480" s="4" t="s">
        <v>8290</v>
      </c>
      <c r="B3480" s="5" t="s">
        <v>8291</v>
      </c>
      <c r="C3480" s="5" t="s">
        <v>27</v>
      </c>
      <c r="D3480" s="5" t="s">
        <v>28</v>
      </c>
      <c r="E3480" s="5" t="s">
        <v>216</v>
      </c>
      <c r="F3480" s="9">
        <v>67</v>
      </c>
      <c r="G3480" s="9">
        <v>751</v>
      </c>
      <c r="H3480" s="5" t="s">
        <v>20</v>
      </c>
      <c r="I3480" s="5" t="s">
        <v>8292</v>
      </c>
      <c r="J3480" s="12" t="str">
        <f>HYPERLINK("https://www.boe.es/gazeta/dias/1804/08/21/pdfs/GMD-1804-67.pdf#page=9","Abrir facsímil")</f>
        <v>Abrir facsímil</v>
      </c>
      <c r="K3480" s="15" t="s">
        <v>22</v>
      </c>
    </row>
    <row r="3481" spans="1:11" ht="42" customHeight="1">
      <c r="A3481" s="4" t="s">
        <v>8293</v>
      </c>
      <c r="B3481" s="5" t="s">
        <v>8294</v>
      </c>
      <c r="C3481" s="5" t="s">
        <v>27</v>
      </c>
      <c r="D3481" s="5" t="s">
        <v>28</v>
      </c>
      <c r="E3481" s="5" t="s">
        <v>490</v>
      </c>
      <c r="F3481" s="9">
        <v>100</v>
      </c>
      <c r="G3481" s="9">
        <v>1119</v>
      </c>
      <c r="H3481" s="5" t="s">
        <v>20</v>
      </c>
      <c r="I3481" s="5" t="s">
        <v>8295</v>
      </c>
      <c r="J3481" s="12" t="str">
        <f>HYPERLINK("https://www.boe.es/gazeta/dias/1804/12/14/pdfs/GMD-1804-100.pdf#page=11","Abrir facsímil")</f>
        <v>Abrir facsímil</v>
      </c>
      <c r="K3481" s="15" t="s">
        <v>22</v>
      </c>
    </row>
    <row r="3482" spans="1:11" ht="42" customHeight="1">
      <c r="A3482" s="4" t="s">
        <v>8296</v>
      </c>
      <c r="B3482" s="5" t="s">
        <v>8297</v>
      </c>
      <c r="C3482" s="5" t="s">
        <v>27</v>
      </c>
      <c r="D3482" s="5" t="s">
        <v>28</v>
      </c>
      <c r="E3482" s="5" t="s">
        <v>109</v>
      </c>
      <c r="F3482" s="9">
        <v>35</v>
      </c>
      <c r="G3482" s="9">
        <v>387</v>
      </c>
      <c r="H3482" s="5" t="s">
        <v>20</v>
      </c>
      <c r="I3482" s="5" t="s">
        <v>8298</v>
      </c>
      <c r="J3482" s="12" t="str">
        <f>HYPERLINK("https://www.boe.es/gazeta/dias/1804/05/01/pdfs/GMD-1804-35.pdf#page=9","Abrir facsímil")</f>
        <v>Abrir facsímil</v>
      </c>
      <c r="K3482" s="15" t="s">
        <v>22</v>
      </c>
    </row>
    <row r="3483" spans="1:11" ht="42" customHeight="1">
      <c r="A3483" s="4" t="s">
        <v>8299</v>
      </c>
      <c r="B3483" s="5" t="s">
        <v>8300</v>
      </c>
      <c r="C3483" s="5" t="s">
        <v>17</v>
      </c>
      <c r="D3483" s="5" t="s">
        <v>18</v>
      </c>
      <c r="E3483" s="5" t="s">
        <v>191</v>
      </c>
      <c r="F3483" s="9">
        <v>101</v>
      </c>
      <c r="G3483" s="9">
        <v>1129</v>
      </c>
      <c r="H3483" s="5" t="s">
        <v>20</v>
      </c>
      <c r="I3483" s="5" t="s">
        <v>8301</v>
      </c>
      <c r="J3483" s="12" t="str">
        <f>HYPERLINK("https://www.boe.es/gazeta/dias/1804/12/18/pdfs/GMD-1804-101.pdf#page=9","Abrir facsímil")</f>
        <v>Abrir facsímil</v>
      </c>
      <c r="K3483" s="15" t="s">
        <v>22</v>
      </c>
    </row>
    <row r="3484" spans="1:11" ht="42" customHeight="1">
      <c r="A3484" s="4" t="s">
        <v>8302</v>
      </c>
      <c r="B3484" s="5" t="s">
        <v>8303</v>
      </c>
      <c r="C3484" s="5" t="s">
        <v>120</v>
      </c>
      <c r="D3484" s="5" t="s">
        <v>121</v>
      </c>
      <c r="E3484" s="5" t="s">
        <v>33</v>
      </c>
      <c r="F3484" s="9">
        <v>48</v>
      </c>
      <c r="G3484" s="9" t="s">
        <v>285</v>
      </c>
      <c r="H3484" s="5" t="s">
        <v>20</v>
      </c>
      <c r="I3484" s="5" t="s">
        <v>8304</v>
      </c>
      <c r="J3484" s="12" t="str">
        <f>HYPERLINK("https://www.boe.es/gazeta/dias/1804/06/15/pdfs/GMD-C-1804-48.pdf#page=2","Abrir facsímil")</f>
        <v>Abrir facsímil</v>
      </c>
      <c r="K3484" s="15" t="s">
        <v>22</v>
      </c>
    </row>
    <row r="3485" spans="1:11" ht="42" customHeight="1">
      <c r="A3485" s="4" t="s">
        <v>8305</v>
      </c>
      <c r="B3485" s="5" t="s">
        <v>8305</v>
      </c>
      <c r="C3485" s="5" t="s">
        <v>198</v>
      </c>
      <c r="D3485" s="5" t="s">
        <v>66</v>
      </c>
      <c r="E3485" s="5" t="s">
        <v>302</v>
      </c>
      <c r="F3485" s="9">
        <v>3</v>
      </c>
      <c r="G3485" s="9">
        <v>22</v>
      </c>
      <c r="H3485" s="5" t="s">
        <v>20</v>
      </c>
      <c r="I3485" s="5" t="s">
        <v>8306</v>
      </c>
      <c r="J3485" s="12" t="str">
        <f>HYPERLINK("https://www.boe.es/gazeta/dias/1804/01/10/pdfs/GMD-1804-3.pdf#page=2","Abrir facsímil")</f>
        <v>Abrir facsímil</v>
      </c>
      <c r="K3485" s="15" t="s">
        <v>22</v>
      </c>
    </row>
    <row r="3486" spans="1:11" ht="42" customHeight="1">
      <c r="A3486" s="4" t="s">
        <v>8307</v>
      </c>
      <c r="B3486" s="5" t="s">
        <v>8307</v>
      </c>
      <c r="C3486" s="5" t="s">
        <v>57</v>
      </c>
      <c r="D3486" s="5" t="s">
        <v>58</v>
      </c>
      <c r="E3486" s="5" t="s">
        <v>466</v>
      </c>
      <c r="F3486" s="9">
        <v>76</v>
      </c>
      <c r="G3486" s="9">
        <v>844</v>
      </c>
      <c r="H3486" s="5" t="s">
        <v>20</v>
      </c>
      <c r="I3486" s="5" t="s">
        <v>8308</v>
      </c>
      <c r="J3486" s="12" t="str">
        <f>HYPERLINK("https://www.boe.es/gazeta/dias/1804/09/21/pdfs/GMD-1804-76.pdf#page=2","Abrir facsímil")</f>
        <v>Abrir facsímil</v>
      </c>
      <c r="K3486" s="15" t="s">
        <v>22</v>
      </c>
    </row>
    <row r="3487" spans="1:11" ht="42" customHeight="1">
      <c r="A3487" s="4" t="s">
        <v>8309</v>
      </c>
      <c r="B3487" s="5" t="s">
        <v>8310</v>
      </c>
      <c r="C3487" s="5" t="s">
        <v>57</v>
      </c>
      <c r="D3487" s="5" t="s">
        <v>58</v>
      </c>
      <c r="E3487" s="5" t="s">
        <v>50</v>
      </c>
      <c r="F3487" s="9">
        <v>93</v>
      </c>
      <c r="G3487" s="9">
        <v>1025</v>
      </c>
      <c r="H3487" s="5" t="s">
        <v>20</v>
      </c>
      <c r="I3487" s="5" t="s">
        <v>8311</v>
      </c>
      <c r="J3487" s="12" t="str">
        <f>HYPERLINK("https://www.boe.es/gazeta/dias/1804/11/20/pdfs/GMD-1804-93.pdf#page=1","Abrir facsímil")</f>
        <v>Abrir facsímil</v>
      </c>
      <c r="K3487" s="15" t="s">
        <v>22</v>
      </c>
    </row>
    <row r="3488" spans="1:11" ht="42" customHeight="1">
      <c r="A3488" s="4" t="s">
        <v>8312</v>
      </c>
      <c r="B3488" s="5" t="s">
        <v>8312</v>
      </c>
      <c r="C3488" s="5" t="s">
        <v>85</v>
      </c>
      <c r="D3488" s="5" t="s">
        <v>86</v>
      </c>
      <c r="E3488" s="5" t="s">
        <v>226</v>
      </c>
      <c r="F3488" s="9">
        <v>17</v>
      </c>
      <c r="G3488" s="9">
        <v>185</v>
      </c>
      <c r="H3488" s="5" t="s">
        <v>20</v>
      </c>
      <c r="I3488" s="5" t="s">
        <v>8313</v>
      </c>
      <c r="J3488" s="12" t="str">
        <f>HYPERLINK("https://www.boe.es/gazeta/dias/1804/02/28/pdfs/GMD-1804-17.pdf#page=5","Abrir facsímil")</f>
        <v>Abrir facsímil</v>
      </c>
      <c r="K3488" s="15" t="s">
        <v>22</v>
      </c>
    </row>
    <row r="3489" spans="1:11" ht="42" customHeight="1">
      <c r="A3489" s="4" t="s">
        <v>8314</v>
      </c>
      <c r="B3489" s="5" t="s">
        <v>8315</v>
      </c>
      <c r="C3489" s="5" t="s">
        <v>17</v>
      </c>
      <c r="D3489" s="5" t="s">
        <v>18</v>
      </c>
      <c r="E3489" s="5" t="s">
        <v>709</v>
      </c>
      <c r="F3489" s="9">
        <v>82</v>
      </c>
      <c r="G3489" s="9">
        <v>906</v>
      </c>
      <c r="H3489" s="5" t="s">
        <v>20</v>
      </c>
      <c r="I3489" s="5" t="s">
        <v>8316</v>
      </c>
      <c r="J3489" s="12" t="str">
        <f>HYPERLINK("https://www.boe.es/gazeta/dias/1804/10/12/pdfs/GMD-1804-82.pdf#page=8","Abrir facsímil")</f>
        <v>Abrir facsímil</v>
      </c>
      <c r="K3489" s="15" t="s">
        <v>22</v>
      </c>
    </row>
    <row r="3490" spans="1:11" ht="42" customHeight="1">
      <c r="A3490" s="4" t="s">
        <v>8317</v>
      </c>
      <c r="B3490" s="5" t="s">
        <v>8317</v>
      </c>
      <c r="C3490" s="5" t="s">
        <v>17</v>
      </c>
      <c r="D3490" s="5" t="s">
        <v>18</v>
      </c>
      <c r="E3490" s="5" t="s">
        <v>71</v>
      </c>
      <c r="F3490" s="9">
        <v>99</v>
      </c>
      <c r="G3490" s="9">
        <v>1104</v>
      </c>
      <c r="H3490" s="5" t="s">
        <v>20</v>
      </c>
      <c r="I3490" s="5" t="s">
        <v>8318</v>
      </c>
      <c r="J3490" s="12" t="str">
        <f>HYPERLINK("https://www.boe.es/gazeta/dias/1804/12/11/pdfs/GMD-1804-99.pdf#page=4","Abrir facsímil")</f>
        <v>Abrir facsímil</v>
      </c>
      <c r="K3490" s="15" t="s">
        <v>22</v>
      </c>
    </row>
    <row r="3491" spans="1:11" ht="42" customHeight="1">
      <c r="A3491" s="4" t="s">
        <v>8319</v>
      </c>
      <c r="B3491" s="5" t="s">
        <v>8319</v>
      </c>
      <c r="C3491" s="5" t="s">
        <v>65</v>
      </c>
      <c r="D3491" s="5" t="s">
        <v>66</v>
      </c>
      <c r="E3491" s="5" t="s">
        <v>81</v>
      </c>
      <c r="F3491" s="9">
        <v>98</v>
      </c>
      <c r="G3491" s="9">
        <v>1088</v>
      </c>
      <c r="H3491" s="5" t="s">
        <v>20</v>
      </c>
      <c r="I3491" s="5" t="s">
        <v>8320</v>
      </c>
      <c r="J3491" s="12" t="str">
        <f>HYPERLINK("https://www.boe.es/gazeta/dias/1804/12/07/pdfs/GMD-1804-98.pdf#page=4","Abrir facsímil")</f>
        <v>Abrir facsímil</v>
      </c>
      <c r="K3491" s="15" t="s">
        <v>22</v>
      </c>
    </row>
    <row r="3492" spans="1:11" ht="42" customHeight="1">
      <c r="A3492" s="4" t="s">
        <v>8321</v>
      </c>
      <c r="B3492" s="5" t="s">
        <v>8322</v>
      </c>
      <c r="C3492" s="5" t="s">
        <v>27</v>
      </c>
      <c r="D3492" s="5" t="s">
        <v>28</v>
      </c>
      <c r="E3492" s="5" t="s">
        <v>360</v>
      </c>
      <c r="F3492" s="9">
        <v>81</v>
      </c>
      <c r="G3492" s="9">
        <v>897</v>
      </c>
      <c r="H3492" s="5" t="s">
        <v>20</v>
      </c>
      <c r="I3492" s="5" t="s">
        <v>8323</v>
      </c>
      <c r="J3492" s="12" t="str">
        <f>HYPERLINK("https://www.boe.es/gazeta/dias/1804/10/09/pdfs/GMD-1804-81.pdf#page=7","Abrir facsímil")</f>
        <v>Abrir facsímil</v>
      </c>
      <c r="K3492" s="15" t="s">
        <v>22</v>
      </c>
    </row>
    <row r="3493" spans="1:11" ht="42" customHeight="1">
      <c r="A3493" s="4" t="s">
        <v>8324</v>
      </c>
      <c r="B3493" s="5" t="s">
        <v>8325</v>
      </c>
      <c r="C3493" s="5" t="s">
        <v>27</v>
      </c>
      <c r="D3493" s="5" t="s">
        <v>28</v>
      </c>
      <c r="E3493" s="5" t="s">
        <v>178</v>
      </c>
      <c r="F3493" s="9">
        <v>20</v>
      </c>
      <c r="G3493" s="9">
        <v>220</v>
      </c>
      <c r="H3493" s="5" t="s">
        <v>20</v>
      </c>
      <c r="I3493" s="5" t="s">
        <v>8326</v>
      </c>
      <c r="J3493" s="12" t="str">
        <f>HYPERLINK("https://www.boe.es/gazeta/dias/1804/03/09/pdfs/GMD-1804-20.pdf#page=8","Abrir facsímil")</f>
        <v>Abrir facsímil</v>
      </c>
      <c r="K3493" s="15" t="s">
        <v>22</v>
      </c>
    </row>
    <row r="3494" spans="1:11" ht="42" customHeight="1">
      <c r="A3494" s="4" t="s">
        <v>8327</v>
      </c>
      <c r="B3494" s="5" t="s">
        <v>8328</v>
      </c>
      <c r="C3494" s="5" t="s">
        <v>17</v>
      </c>
      <c r="D3494" s="5" t="s">
        <v>18</v>
      </c>
      <c r="E3494" s="5" t="s">
        <v>47</v>
      </c>
      <c r="F3494" s="9">
        <v>78</v>
      </c>
      <c r="G3494" s="9">
        <v>869</v>
      </c>
      <c r="H3494" s="5" t="s">
        <v>20</v>
      </c>
      <c r="I3494" s="5" t="s">
        <v>8329</v>
      </c>
      <c r="J3494" s="12" t="str">
        <f>HYPERLINK("https://www.boe.es/gazeta/dias/1804/09/28/pdfs/GMD-1804-78.pdf#page=7","Abrir facsímil")</f>
        <v>Abrir facsímil</v>
      </c>
      <c r="K3494" s="15" t="s">
        <v>22</v>
      </c>
    </row>
    <row r="3495" spans="1:11" ht="42" customHeight="1">
      <c r="A3495" s="4" t="s">
        <v>8330</v>
      </c>
      <c r="B3495" s="5" t="s">
        <v>8331</v>
      </c>
      <c r="C3495" s="5" t="s">
        <v>65</v>
      </c>
      <c r="D3495" s="5" t="s">
        <v>66</v>
      </c>
      <c r="E3495" s="5" t="s">
        <v>111</v>
      </c>
      <c r="F3495" s="9">
        <v>40</v>
      </c>
      <c r="G3495" s="9">
        <v>449</v>
      </c>
      <c r="H3495" s="5" t="s">
        <v>20</v>
      </c>
      <c r="I3495" s="5" t="s">
        <v>8332</v>
      </c>
      <c r="J3495" s="12" t="str">
        <f>HYPERLINK("https://www.boe.es/gazeta/dias/1804/05/18/pdfs/GMD-1804-40.pdf#page=11","Abrir facsímil")</f>
        <v>Abrir facsímil</v>
      </c>
      <c r="K3495" s="15" t="s">
        <v>22</v>
      </c>
    </row>
    <row r="3496" spans="1:11" ht="42" customHeight="1">
      <c r="A3496" s="4" t="s">
        <v>8330</v>
      </c>
      <c r="B3496" s="5" t="s">
        <v>8331</v>
      </c>
      <c r="C3496" s="5" t="s">
        <v>65</v>
      </c>
      <c r="D3496" s="5" t="s">
        <v>66</v>
      </c>
      <c r="E3496" s="5" t="s">
        <v>670</v>
      </c>
      <c r="F3496" s="9">
        <v>41</v>
      </c>
      <c r="G3496" s="9">
        <v>460</v>
      </c>
      <c r="H3496" s="5" t="s">
        <v>20</v>
      </c>
      <c r="I3496" s="5" t="s">
        <v>8333</v>
      </c>
      <c r="J3496" s="12" t="str">
        <f>HYPERLINK("https://www.boe.es/gazeta/dias/1804/05/22/pdfs/GMD-1804-41.pdf#page=10","Abrir facsímil")</f>
        <v>Abrir facsímil</v>
      </c>
      <c r="K3496" s="15" t="s">
        <v>22</v>
      </c>
    </row>
    <row r="3497" spans="1:11" ht="42" customHeight="1">
      <c r="A3497" s="4" t="s">
        <v>8334</v>
      </c>
      <c r="B3497" s="5" t="s">
        <v>8335</v>
      </c>
      <c r="C3497" s="5" t="s">
        <v>27</v>
      </c>
      <c r="D3497" s="5" t="s">
        <v>28</v>
      </c>
      <c r="E3497" s="5" t="s">
        <v>19</v>
      </c>
      <c r="F3497" s="9">
        <v>60</v>
      </c>
      <c r="G3497" s="9">
        <v>668</v>
      </c>
      <c r="H3497" s="5" t="s">
        <v>20</v>
      </c>
      <c r="I3497" s="5" t="s">
        <v>8336</v>
      </c>
      <c r="J3497" s="12" t="str">
        <f>HYPERLINK("https://www.boe.es/gazeta/dias/1804/07/27/pdfs/GMD-1804-60.pdf#page=10","Abrir facsímil")</f>
        <v>Abrir facsímil</v>
      </c>
      <c r="K3497" s="15" t="s">
        <v>22</v>
      </c>
    </row>
    <row r="3498" spans="1:11" ht="42" customHeight="1">
      <c r="A3498" s="4" t="s">
        <v>8337</v>
      </c>
      <c r="B3498" s="5" t="s">
        <v>8338</v>
      </c>
      <c r="C3498" s="5" t="s">
        <v>27</v>
      </c>
      <c r="D3498" s="5" t="s">
        <v>28</v>
      </c>
      <c r="E3498" s="5" t="s">
        <v>526</v>
      </c>
      <c r="F3498" s="9">
        <v>95</v>
      </c>
      <c r="G3498" s="9">
        <v>1056</v>
      </c>
      <c r="H3498" s="5" t="s">
        <v>20</v>
      </c>
      <c r="I3498" s="5" t="s">
        <v>8339</v>
      </c>
      <c r="J3498" s="12" t="str">
        <f>HYPERLINK("https://www.boe.es/gazeta/dias/1804/11/27/pdfs/GMD-1804-95.pdf#page=8","Abrir facsímil")</f>
        <v>Abrir facsímil</v>
      </c>
      <c r="K3498" s="15" t="s">
        <v>22</v>
      </c>
    </row>
    <row r="3499" spans="1:11" ht="42" customHeight="1">
      <c r="A3499" s="4" t="s">
        <v>8340</v>
      </c>
      <c r="B3499" s="5" t="s">
        <v>8341</v>
      </c>
      <c r="C3499" s="5" t="s">
        <v>198</v>
      </c>
      <c r="D3499" s="5" t="s">
        <v>66</v>
      </c>
      <c r="E3499" s="5" t="s">
        <v>191</v>
      </c>
      <c r="F3499" s="9">
        <v>101</v>
      </c>
      <c r="G3499" s="9">
        <v>1130</v>
      </c>
      <c r="H3499" s="5" t="s">
        <v>20</v>
      </c>
      <c r="I3499" s="5" t="s">
        <v>8342</v>
      </c>
      <c r="J3499" s="12" t="str">
        <f>HYPERLINK("https://www.boe.es/gazeta/dias/1804/12/18/pdfs/GMD-1804-101.pdf#page=10","Abrir facsímil")</f>
        <v>Abrir facsímil</v>
      </c>
      <c r="K3499" s="15" t="s">
        <v>22</v>
      </c>
    </row>
    <row r="3500" spans="1:11" ht="42" customHeight="1">
      <c r="A3500" s="4" t="s">
        <v>8343</v>
      </c>
      <c r="B3500" s="5" t="s">
        <v>8344</v>
      </c>
      <c r="C3500" s="5" t="s">
        <v>27</v>
      </c>
      <c r="D3500" s="5" t="s">
        <v>28</v>
      </c>
      <c r="E3500" s="5" t="s">
        <v>50</v>
      </c>
      <c r="F3500" s="9">
        <v>93</v>
      </c>
      <c r="G3500" s="9">
        <v>1031</v>
      </c>
      <c r="H3500" s="5" t="s">
        <v>20</v>
      </c>
      <c r="I3500" s="5" t="s">
        <v>8345</v>
      </c>
      <c r="J3500" s="12" t="str">
        <f>HYPERLINK("https://www.boe.es/gazeta/dias/1804/11/20/pdfs/GMD-1804-93.pdf#page=7","Abrir facsímil")</f>
        <v>Abrir facsímil</v>
      </c>
      <c r="K3500" s="15" t="s">
        <v>22</v>
      </c>
    </row>
    <row r="3501" spans="1:11" ht="42" customHeight="1">
      <c r="A3501" s="4" t="s">
        <v>8346</v>
      </c>
      <c r="B3501" s="5" t="s">
        <v>8347</v>
      </c>
      <c r="C3501" s="5" t="s">
        <v>27</v>
      </c>
      <c r="D3501" s="5" t="s">
        <v>28</v>
      </c>
      <c r="E3501" s="5" t="s">
        <v>378</v>
      </c>
      <c r="F3501" s="9">
        <v>65</v>
      </c>
      <c r="G3501" s="9">
        <v>732</v>
      </c>
      <c r="H3501" s="5" t="s">
        <v>20</v>
      </c>
      <c r="I3501" s="5" t="s">
        <v>8348</v>
      </c>
      <c r="J3501" s="12" t="str">
        <f>HYPERLINK("https://www.boe.es/gazeta/dias/1804/08/14/pdfs/GMD-1804-65.pdf#page=10","Abrir facsímil")</f>
        <v>Abrir facsímil</v>
      </c>
      <c r="K3501" s="15" t="s">
        <v>22</v>
      </c>
    </row>
    <row r="3502" spans="1:11" ht="42" customHeight="1">
      <c r="A3502" s="4" t="s">
        <v>8349</v>
      </c>
      <c r="B3502" s="5" t="s">
        <v>8350</v>
      </c>
      <c r="C3502" s="5" t="s">
        <v>198</v>
      </c>
      <c r="D3502" s="5" t="s">
        <v>66</v>
      </c>
      <c r="E3502" s="5" t="s">
        <v>245</v>
      </c>
      <c r="F3502" s="9">
        <v>6</v>
      </c>
      <c r="G3502" s="9">
        <v>59</v>
      </c>
      <c r="H3502" s="5" t="s">
        <v>20</v>
      </c>
      <c r="I3502" s="5" t="s">
        <v>8351</v>
      </c>
      <c r="J3502" s="12" t="str">
        <f>HYPERLINK("https://www.boe.es/gazeta/dias/1804/01/20/pdfs/GMD-1804-6.pdf#page=11","Abrir facsímil")</f>
        <v>Abrir facsímil</v>
      </c>
      <c r="K3502" s="15" t="s">
        <v>22</v>
      </c>
    </row>
    <row r="3503" spans="1:11" ht="42" customHeight="1">
      <c r="A3503" s="4" t="s">
        <v>8349</v>
      </c>
      <c r="B3503" s="5" t="s">
        <v>8350</v>
      </c>
      <c r="C3503" s="5" t="s">
        <v>85</v>
      </c>
      <c r="D3503" s="5" t="s">
        <v>86</v>
      </c>
      <c r="E3503" s="5" t="s">
        <v>226</v>
      </c>
      <c r="F3503" s="9">
        <v>17</v>
      </c>
      <c r="G3503" s="9" t="s">
        <v>819</v>
      </c>
      <c r="H3503" s="5" t="s">
        <v>20</v>
      </c>
      <c r="I3503" s="5" t="s">
        <v>8352</v>
      </c>
      <c r="J3503" s="12" t="str">
        <f>HYPERLINK("https://www.boe.es/gazeta/dias/1804/02/28/pdfs/GMD-C-1804-17.pdf#page=4","Abrir facsímil")</f>
        <v>Abrir facsímil</v>
      </c>
      <c r="K3503" s="15" t="s">
        <v>22</v>
      </c>
    </row>
    <row r="3504" spans="1:11" ht="42" customHeight="1">
      <c r="A3504" s="4" t="s">
        <v>8349</v>
      </c>
      <c r="B3504" s="5" t="s">
        <v>8350</v>
      </c>
      <c r="C3504" s="5" t="s">
        <v>27</v>
      </c>
      <c r="D3504" s="5" t="s">
        <v>28</v>
      </c>
      <c r="E3504" s="5" t="s">
        <v>111</v>
      </c>
      <c r="F3504" s="9">
        <v>40</v>
      </c>
      <c r="G3504" s="9">
        <v>449</v>
      </c>
      <c r="H3504" s="5" t="s">
        <v>20</v>
      </c>
      <c r="I3504" s="5" t="s">
        <v>8353</v>
      </c>
      <c r="J3504" s="12" t="str">
        <f>HYPERLINK("https://www.boe.es/gazeta/dias/1804/05/18/pdfs/GMD-1804-40.pdf#page=11","Abrir facsímil")</f>
        <v>Abrir facsímil</v>
      </c>
      <c r="K3504" s="15" t="s">
        <v>22</v>
      </c>
    </row>
    <row r="3505" spans="1:11" ht="42" customHeight="1">
      <c r="A3505" s="4" t="s">
        <v>8349</v>
      </c>
      <c r="B3505" s="5" t="s">
        <v>8350</v>
      </c>
      <c r="C3505" s="5" t="s">
        <v>85</v>
      </c>
      <c r="D3505" s="5" t="s">
        <v>86</v>
      </c>
      <c r="E3505" s="5" t="s">
        <v>466</v>
      </c>
      <c r="F3505" s="9">
        <v>76</v>
      </c>
      <c r="G3505" s="9">
        <v>850</v>
      </c>
      <c r="H3505" s="5" t="s">
        <v>20</v>
      </c>
      <c r="I3505" s="5" t="s">
        <v>8354</v>
      </c>
      <c r="J3505" s="12" t="str">
        <f>HYPERLINK("https://www.boe.es/gazeta/dias/1804/09/21/pdfs/GMD-1804-76.pdf#page=8","Abrir facsímil")</f>
        <v>Abrir facsímil</v>
      </c>
      <c r="K3505" s="15" t="s">
        <v>22</v>
      </c>
    </row>
    <row r="3506" spans="1:11" ht="42" customHeight="1">
      <c r="A3506" s="4" t="s">
        <v>8355</v>
      </c>
      <c r="B3506" s="5" t="s">
        <v>8356</v>
      </c>
      <c r="C3506" s="5" t="s">
        <v>17</v>
      </c>
      <c r="D3506" s="5" t="s">
        <v>18</v>
      </c>
      <c r="E3506" s="5" t="s">
        <v>497</v>
      </c>
      <c r="F3506" s="9">
        <v>25</v>
      </c>
      <c r="G3506" s="9">
        <v>285</v>
      </c>
      <c r="H3506" s="5" t="s">
        <v>20</v>
      </c>
      <c r="I3506" s="5" t="s">
        <v>8357</v>
      </c>
      <c r="J3506" s="12" t="str">
        <f>HYPERLINK("https://www.boe.es/gazeta/dias/1804/03/27/pdfs/GMD-1804-25.pdf#page=7","Abrir facsímil")</f>
        <v>Abrir facsímil</v>
      </c>
      <c r="K3506" s="15" t="s">
        <v>22</v>
      </c>
    </row>
    <row r="3507" spans="1:11" ht="42" customHeight="1">
      <c r="A3507" s="4" t="s">
        <v>8358</v>
      </c>
      <c r="B3507" s="5" t="s">
        <v>8359</v>
      </c>
      <c r="C3507" s="5" t="s">
        <v>65</v>
      </c>
      <c r="D3507" s="5" t="s">
        <v>66</v>
      </c>
      <c r="E3507" s="5" t="s">
        <v>111</v>
      </c>
      <c r="F3507" s="9">
        <v>40</v>
      </c>
      <c r="G3507" s="9">
        <v>448</v>
      </c>
      <c r="H3507" s="5" t="s">
        <v>20</v>
      </c>
      <c r="I3507" s="5" t="s">
        <v>8360</v>
      </c>
      <c r="J3507" s="12" t="str">
        <f>HYPERLINK("https://www.boe.es/gazeta/dias/1804/05/18/pdfs/GMD-1804-40.pdf#page=10","Abrir facsímil")</f>
        <v>Abrir facsímil</v>
      </c>
      <c r="K3507" s="15" t="s">
        <v>22</v>
      </c>
    </row>
    <row r="3508" spans="1:11" ht="42" customHeight="1">
      <c r="A3508" s="4" t="s">
        <v>8358</v>
      </c>
      <c r="B3508" s="5" t="s">
        <v>8359</v>
      </c>
      <c r="C3508" s="5" t="s">
        <v>65</v>
      </c>
      <c r="D3508" s="5" t="s">
        <v>66</v>
      </c>
      <c r="E3508" s="5" t="s">
        <v>111</v>
      </c>
      <c r="F3508" s="9">
        <v>40</v>
      </c>
      <c r="G3508" s="9">
        <v>449</v>
      </c>
      <c r="H3508" s="5" t="s">
        <v>20</v>
      </c>
      <c r="I3508" s="5" t="s">
        <v>8361</v>
      </c>
      <c r="J3508" s="12" t="str">
        <f>HYPERLINK("https://www.boe.es/gazeta/dias/1804/05/18/pdfs/GMD-1804-40.pdf#page=11","Abrir facsímil")</f>
        <v>Abrir facsímil</v>
      </c>
      <c r="K3508" s="15" t="s">
        <v>22</v>
      </c>
    </row>
    <row r="3509" spans="1:11" ht="42" customHeight="1">
      <c r="A3509" s="4" t="s">
        <v>8358</v>
      </c>
      <c r="B3509" s="5" t="s">
        <v>8359</v>
      </c>
      <c r="C3509" s="5" t="s">
        <v>65</v>
      </c>
      <c r="D3509" s="5" t="s">
        <v>66</v>
      </c>
      <c r="E3509" s="5" t="s">
        <v>670</v>
      </c>
      <c r="F3509" s="9">
        <v>41</v>
      </c>
      <c r="G3509" s="9">
        <v>460</v>
      </c>
      <c r="H3509" s="5" t="s">
        <v>20</v>
      </c>
      <c r="I3509" s="5" t="s">
        <v>8362</v>
      </c>
      <c r="J3509" s="12" t="str">
        <f>HYPERLINK("https://www.boe.es/gazeta/dias/1804/05/22/pdfs/GMD-1804-41.pdf#page=10","Abrir facsímil")</f>
        <v>Abrir facsímil</v>
      </c>
      <c r="K3509" s="15" t="s">
        <v>22</v>
      </c>
    </row>
    <row r="3510" spans="1:11" ht="42" customHeight="1">
      <c r="A3510" s="4" t="s">
        <v>8363</v>
      </c>
      <c r="B3510" s="5" t="s">
        <v>8364</v>
      </c>
      <c r="C3510" s="5" t="s">
        <v>27</v>
      </c>
      <c r="D3510" s="5" t="s">
        <v>28</v>
      </c>
      <c r="E3510" s="5" t="s">
        <v>670</v>
      </c>
      <c r="F3510" s="9">
        <v>41</v>
      </c>
      <c r="G3510" s="9">
        <v>458</v>
      </c>
      <c r="H3510" s="5" t="s">
        <v>20</v>
      </c>
      <c r="I3510" s="5" t="s">
        <v>8365</v>
      </c>
      <c r="J3510" s="12" t="str">
        <f>HYPERLINK("https://www.boe.es/gazeta/dias/1804/05/22/pdfs/GMD-1804-41.pdf#page=8","Abrir facsímil")</f>
        <v>Abrir facsímil</v>
      </c>
      <c r="K3510" s="15" t="s">
        <v>22</v>
      </c>
    </row>
    <row r="3511" spans="1:11" ht="42" customHeight="1">
      <c r="A3511" s="4" t="s">
        <v>8366</v>
      </c>
      <c r="B3511" s="5" t="s">
        <v>8367</v>
      </c>
      <c r="C3511" s="5" t="s">
        <v>27</v>
      </c>
      <c r="D3511" s="5" t="s">
        <v>28</v>
      </c>
      <c r="E3511" s="5" t="s">
        <v>111</v>
      </c>
      <c r="F3511" s="9">
        <v>40</v>
      </c>
      <c r="G3511" s="9">
        <v>447</v>
      </c>
      <c r="H3511" s="5" t="s">
        <v>20</v>
      </c>
      <c r="I3511" s="5" t="s">
        <v>8368</v>
      </c>
      <c r="J3511" s="12" t="str">
        <f>HYPERLINK("https://www.boe.es/gazeta/dias/1804/05/18/pdfs/GMD-1804-40.pdf#page=9","Abrir facsímil")</f>
        <v>Abrir facsímil</v>
      </c>
      <c r="K3511" s="15" t="s">
        <v>22</v>
      </c>
    </row>
    <row r="3512" spans="1:11" ht="42" customHeight="1">
      <c r="A3512" s="4" t="s">
        <v>8366</v>
      </c>
      <c r="B3512" s="5" t="s">
        <v>8367</v>
      </c>
      <c r="C3512" s="5" t="s">
        <v>27</v>
      </c>
      <c r="D3512" s="5" t="s">
        <v>28</v>
      </c>
      <c r="E3512" s="5" t="s">
        <v>670</v>
      </c>
      <c r="F3512" s="9">
        <v>41</v>
      </c>
      <c r="G3512" s="9">
        <v>458</v>
      </c>
      <c r="H3512" s="5" t="s">
        <v>20</v>
      </c>
      <c r="I3512" s="5" t="s">
        <v>8369</v>
      </c>
      <c r="J3512" s="12" t="str">
        <f>HYPERLINK("https://www.boe.es/gazeta/dias/1804/05/22/pdfs/GMD-1804-41.pdf#page=8","Abrir facsímil")</f>
        <v>Abrir facsímil</v>
      </c>
      <c r="K3512" s="15" t="s">
        <v>22</v>
      </c>
    </row>
    <row r="3513" spans="1:11" ht="42" customHeight="1">
      <c r="A3513" s="4" t="s">
        <v>8370</v>
      </c>
      <c r="B3513" s="5" t="s">
        <v>8371</v>
      </c>
      <c r="C3513" s="5" t="s">
        <v>17</v>
      </c>
      <c r="D3513" s="5" t="s">
        <v>18</v>
      </c>
      <c r="E3513" s="5" t="s">
        <v>172</v>
      </c>
      <c r="F3513" s="9">
        <v>38</v>
      </c>
      <c r="G3513" s="9">
        <v>424</v>
      </c>
      <c r="H3513" s="5" t="s">
        <v>20</v>
      </c>
      <c r="I3513" s="5" t="s">
        <v>8372</v>
      </c>
      <c r="J3513" s="12" t="str">
        <f>HYPERLINK("https://www.boe.es/gazeta/dias/1804/05/11/pdfs/GMD-1804-38.pdf#page=10","Abrir facsímil")</f>
        <v>Abrir facsímil</v>
      </c>
      <c r="K3513" s="15" t="s">
        <v>22</v>
      </c>
    </row>
    <row r="3514" spans="1:11" ht="42" customHeight="1">
      <c r="A3514" s="4" t="s">
        <v>8373</v>
      </c>
      <c r="B3514" s="5" t="s">
        <v>8374</v>
      </c>
      <c r="C3514" s="5" t="s">
        <v>85</v>
      </c>
      <c r="D3514" s="5" t="s">
        <v>86</v>
      </c>
      <c r="E3514" s="5" t="s">
        <v>264</v>
      </c>
      <c r="F3514" s="9">
        <v>49</v>
      </c>
      <c r="G3514" s="9" t="s">
        <v>265</v>
      </c>
      <c r="H3514" s="5" t="s">
        <v>20</v>
      </c>
      <c r="I3514" s="5" t="s">
        <v>8375</v>
      </c>
      <c r="J3514" s="12" t="str">
        <f>HYPERLINK("https://www.boe.es/gazeta/dias/1804/06/19/pdfs/GMD-C-1804-49.pdf#page=9","Abrir facsímil")</f>
        <v>Abrir facsímil</v>
      </c>
      <c r="K3514" s="15" t="s">
        <v>22</v>
      </c>
    </row>
    <row r="3515" spans="1:11" ht="42" customHeight="1">
      <c r="A3515" s="4" t="s">
        <v>8376</v>
      </c>
      <c r="B3515" s="5" t="s">
        <v>8377</v>
      </c>
      <c r="C3515" s="5" t="s">
        <v>65</v>
      </c>
      <c r="D3515" s="5" t="s">
        <v>66</v>
      </c>
      <c r="E3515" s="5" t="s">
        <v>547</v>
      </c>
      <c r="F3515" s="9">
        <v>68</v>
      </c>
      <c r="G3515" s="9">
        <v>766</v>
      </c>
      <c r="H3515" s="5" t="s">
        <v>20</v>
      </c>
      <c r="I3515" s="5" t="s">
        <v>8378</v>
      </c>
      <c r="J3515" s="12" t="str">
        <f>HYPERLINK("https://www.boe.es/gazeta/dias/1804/08/24/pdfs/GMD-1804-68.pdf#page=12","Abrir facsímil")</f>
        <v>Abrir facsímil</v>
      </c>
      <c r="K3515" s="15" t="s">
        <v>22</v>
      </c>
    </row>
    <row r="3516" spans="1:11" ht="42" customHeight="1">
      <c r="A3516" s="4" t="s">
        <v>8379</v>
      </c>
      <c r="B3516" s="5" t="s">
        <v>8380</v>
      </c>
      <c r="C3516" s="5" t="s">
        <v>17</v>
      </c>
      <c r="D3516" s="5" t="s">
        <v>18</v>
      </c>
      <c r="E3516" s="5" t="s">
        <v>367</v>
      </c>
      <c r="F3516" s="9">
        <v>64</v>
      </c>
      <c r="G3516" s="9">
        <v>714</v>
      </c>
      <c r="H3516" s="5" t="s">
        <v>20</v>
      </c>
      <c r="I3516" s="5" t="s">
        <v>8381</v>
      </c>
      <c r="J3516" s="12" t="str">
        <f>HYPERLINK("https://www.boe.es/gazeta/dias/1804/08/10/pdfs/GMD-1804-64.pdf#page=8","Abrir facsímil")</f>
        <v>Abrir facsímil</v>
      </c>
      <c r="K3516" s="15" t="s">
        <v>22</v>
      </c>
    </row>
    <row r="3517" spans="1:11" ht="42" customHeight="1">
      <c r="A3517" s="4" t="s">
        <v>8382</v>
      </c>
      <c r="B3517" s="5" t="s">
        <v>8383</v>
      </c>
      <c r="C3517" s="5" t="s">
        <v>85</v>
      </c>
      <c r="D3517" s="5" t="s">
        <v>86</v>
      </c>
      <c r="E3517" s="5" t="s">
        <v>111</v>
      </c>
      <c r="F3517" s="9">
        <v>40</v>
      </c>
      <c r="G3517" s="9">
        <v>450</v>
      </c>
      <c r="H3517" s="5" t="s">
        <v>20</v>
      </c>
      <c r="I3517" s="5" t="s">
        <v>8384</v>
      </c>
      <c r="J3517" s="12" t="str">
        <f>HYPERLINK("https://www.boe.es/gazeta/dias/1804/05/18/pdfs/GMD-1804-40.pdf#page=12","Abrir facsímil")</f>
        <v>Abrir facsímil</v>
      </c>
      <c r="K3517" s="15" t="s">
        <v>22</v>
      </c>
    </row>
    <row r="3518" spans="1:11" ht="42" customHeight="1">
      <c r="A3518" s="4" t="s">
        <v>8385</v>
      </c>
      <c r="B3518" s="5" t="s">
        <v>8386</v>
      </c>
      <c r="C3518" s="5" t="s">
        <v>27</v>
      </c>
      <c r="D3518" s="5" t="s">
        <v>28</v>
      </c>
      <c r="E3518" s="5" t="s">
        <v>109</v>
      </c>
      <c r="F3518" s="9">
        <v>35</v>
      </c>
      <c r="G3518" s="9">
        <v>387</v>
      </c>
      <c r="H3518" s="5" t="s">
        <v>20</v>
      </c>
      <c r="I3518" s="5" t="s">
        <v>8387</v>
      </c>
      <c r="J3518" s="12" t="str">
        <f>HYPERLINK("https://www.boe.es/gazeta/dias/1804/05/01/pdfs/GMD-1804-35.pdf#page=9","Abrir facsímil")</f>
        <v>Abrir facsímil</v>
      </c>
      <c r="K3518" s="15" t="s">
        <v>22</v>
      </c>
    </row>
    <row r="3519" spans="1:11" ht="42" customHeight="1">
      <c r="A3519" s="4" t="s">
        <v>8388</v>
      </c>
      <c r="B3519" s="5" t="s">
        <v>8389</v>
      </c>
      <c r="C3519" s="5" t="s">
        <v>198</v>
      </c>
      <c r="D3519" s="5" t="s">
        <v>66</v>
      </c>
      <c r="E3519" s="5" t="s">
        <v>670</v>
      </c>
      <c r="F3519" s="9">
        <v>41</v>
      </c>
      <c r="G3519" s="9">
        <v>458</v>
      </c>
      <c r="H3519" s="5" t="s">
        <v>20</v>
      </c>
      <c r="I3519" s="5" t="s">
        <v>8390</v>
      </c>
      <c r="J3519" s="12" t="str">
        <f>HYPERLINK("https://www.boe.es/gazeta/dias/1804/05/22/pdfs/GMD-1804-41.pdf#page=8","Abrir facsímil")</f>
        <v>Abrir facsímil</v>
      </c>
      <c r="K3519" s="15" t="s">
        <v>22</v>
      </c>
    </row>
    <row r="3520" spans="1:11" ht="42" customHeight="1">
      <c r="A3520" s="4" t="s">
        <v>8391</v>
      </c>
      <c r="B3520" s="5" t="s">
        <v>8392</v>
      </c>
      <c r="C3520" s="5" t="s">
        <v>120</v>
      </c>
      <c r="D3520" s="5" t="s">
        <v>121</v>
      </c>
      <c r="E3520" s="5" t="s">
        <v>33</v>
      </c>
      <c r="F3520" s="9">
        <v>48</v>
      </c>
      <c r="G3520" s="9" t="s">
        <v>819</v>
      </c>
      <c r="H3520" s="5" t="s">
        <v>20</v>
      </c>
      <c r="I3520" s="5" t="s">
        <v>8393</v>
      </c>
      <c r="J3520" s="12" t="str">
        <f>HYPERLINK("https://www.boe.es/gazeta/dias/1804/06/15/pdfs/GMD-C-1804-48.pdf#page=4","Abrir facsímil")</f>
        <v>Abrir facsímil</v>
      </c>
      <c r="K3520" s="15" t="s">
        <v>22</v>
      </c>
    </row>
    <row r="3521" spans="1:11" ht="42" customHeight="1">
      <c r="A3521" s="4" t="s">
        <v>8394</v>
      </c>
      <c r="B3521" s="5" t="s">
        <v>8395</v>
      </c>
      <c r="C3521" s="5" t="s">
        <v>120</v>
      </c>
      <c r="D3521" s="5" t="s">
        <v>121</v>
      </c>
      <c r="E3521" s="5" t="s">
        <v>33</v>
      </c>
      <c r="F3521" s="9">
        <v>48</v>
      </c>
      <c r="G3521" s="9" t="s">
        <v>285</v>
      </c>
      <c r="H3521" s="5" t="s">
        <v>20</v>
      </c>
      <c r="I3521" s="5" t="s">
        <v>8396</v>
      </c>
      <c r="J3521" s="12" t="str">
        <f>HYPERLINK("https://www.boe.es/gazeta/dias/1804/06/15/pdfs/GMD-C-1804-48.pdf#page=2","Abrir facsímil")</f>
        <v>Abrir facsímil</v>
      </c>
      <c r="K3521" s="15" t="s">
        <v>22</v>
      </c>
    </row>
    <row r="3522" spans="1:11" ht="42" customHeight="1">
      <c r="A3522" s="4" t="s">
        <v>8397</v>
      </c>
      <c r="B3522" s="5" t="s">
        <v>8398</v>
      </c>
      <c r="C3522" s="5" t="s">
        <v>27</v>
      </c>
      <c r="D3522" s="5" t="s">
        <v>28</v>
      </c>
      <c r="E3522" s="5" t="s">
        <v>67</v>
      </c>
      <c r="F3522" s="9">
        <v>59</v>
      </c>
      <c r="G3522" s="9">
        <v>653</v>
      </c>
      <c r="H3522" s="5" t="s">
        <v>20</v>
      </c>
      <c r="I3522" s="5" t="s">
        <v>8399</v>
      </c>
      <c r="J3522" s="12" t="str">
        <f>HYPERLINK("https://www.boe.es/gazeta/dias/1804/07/24/pdfs/GMD-1804-59.pdf#page=7","Abrir facsímil")</f>
        <v>Abrir facsímil</v>
      </c>
      <c r="K3522" s="15" t="s">
        <v>22</v>
      </c>
    </row>
    <row r="3523" spans="1:11" ht="42" customHeight="1">
      <c r="A3523" s="4" t="s">
        <v>8400</v>
      </c>
      <c r="B3523" s="5" t="s">
        <v>8401</v>
      </c>
      <c r="C3523" s="5" t="s">
        <v>27</v>
      </c>
      <c r="D3523" s="5" t="s">
        <v>28</v>
      </c>
      <c r="E3523" s="5" t="s">
        <v>398</v>
      </c>
      <c r="F3523" s="9">
        <v>22</v>
      </c>
      <c r="G3523" s="9">
        <v>244</v>
      </c>
      <c r="H3523" s="5" t="s">
        <v>20</v>
      </c>
      <c r="I3523" s="5" t="s">
        <v>8402</v>
      </c>
      <c r="J3523" s="12" t="str">
        <f>HYPERLINK("https://www.boe.es/gazeta/dias/1804/03/16/pdfs/GMD-1804-22.pdf#page=8","Abrir facsímil")</f>
        <v>Abrir facsímil</v>
      </c>
      <c r="K3523" s="15" t="s">
        <v>22</v>
      </c>
    </row>
    <row r="3524" spans="1:11" ht="42" customHeight="1">
      <c r="A3524" s="4" t="s">
        <v>8400</v>
      </c>
      <c r="B3524" s="5" t="s">
        <v>8401</v>
      </c>
      <c r="C3524" s="5" t="s">
        <v>120</v>
      </c>
      <c r="D3524" s="5" t="s">
        <v>121</v>
      </c>
      <c r="E3524" s="5" t="s">
        <v>33</v>
      </c>
      <c r="F3524" s="9">
        <v>48</v>
      </c>
      <c r="G3524" s="9" t="s">
        <v>122</v>
      </c>
      <c r="H3524" s="5" t="s">
        <v>20</v>
      </c>
      <c r="I3524" s="5" t="s">
        <v>8403</v>
      </c>
      <c r="J3524" s="12" t="str">
        <f>HYPERLINK("https://www.boe.es/gazeta/dias/1804/06/15/pdfs/GMD-C-1804-48.pdf#page=3","Abrir facsímil")</f>
        <v>Abrir facsímil</v>
      </c>
      <c r="K3524" s="15" t="s">
        <v>22</v>
      </c>
    </row>
    <row r="3525" spans="1:11" ht="42" customHeight="1">
      <c r="A3525" s="4" t="s">
        <v>8404</v>
      </c>
      <c r="B3525" s="5" t="s">
        <v>8405</v>
      </c>
      <c r="C3525" s="5" t="s">
        <v>120</v>
      </c>
      <c r="D3525" s="5" t="s">
        <v>121</v>
      </c>
      <c r="E3525" s="5" t="s">
        <v>33</v>
      </c>
      <c r="F3525" s="9">
        <v>48</v>
      </c>
      <c r="G3525" s="9" t="s">
        <v>285</v>
      </c>
      <c r="H3525" s="5" t="s">
        <v>20</v>
      </c>
      <c r="I3525" s="5" t="s">
        <v>8406</v>
      </c>
      <c r="J3525" s="12" t="str">
        <f>HYPERLINK("https://www.boe.es/gazeta/dias/1804/06/15/pdfs/GMD-C-1804-48.pdf#page=2","Abrir facsímil")</f>
        <v>Abrir facsímil</v>
      </c>
      <c r="K3525" s="15" t="s">
        <v>22</v>
      </c>
    </row>
    <row r="3526" spans="1:11" ht="42" customHeight="1">
      <c r="A3526" s="4" t="s">
        <v>8407</v>
      </c>
      <c r="B3526" s="5" t="s">
        <v>8408</v>
      </c>
      <c r="C3526" s="5" t="s">
        <v>120</v>
      </c>
      <c r="D3526" s="5" t="s">
        <v>121</v>
      </c>
      <c r="E3526" s="5" t="s">
        <v>33</v>
      </c>
      <c r="F3526" s="9">
        <v>48</v>
      </c>
      <c r="G3526" s="9" t="s">
        <v>98</v>
      </c>
      <c r="H3526" s="5" t="s">
        <v>20</v>
      </c>
      <c r="I3526" s="5" t="s">
        <v>8409</v>
      </c>
      <c r="J3526" s="12" t="str">
        <f>HYPERLINK("https://www.boe.es/gazeta/dias/1804/06/15/pdfs/GMD-C-1804-48.pdf#page=1","Abrir facsímil")</f>
        <v>Abrir facsímil</v>
      </c>
      <c r="K3526" s="15" t="s">
        <v>22</v>
      </c>
    </row>
    <row r="3527" spans="1:11" ht="42" customHeight="1">
      <c r="A3527" s="4" t="s">
        <v>8410</v>
      </c>
      <c r="B3527" s="5" t="s">
        <v>8411</v>
      </c>
      <c r="C3527" s="5" t="s">
        <v>27</v>
      </c>
      <c r="D3527" s="5" t="s">
        <v>28</v>
      </c>
      <c r="E3527" s="5" t="s">
        <v>272</v>
      </c>
      <c r="F3527" s="9">
        <v>30</v>
      </c>
      <c r="G3527" s="9">
        <v>330</v>
      </c>
      <c r="H3527" s="5" t="s">
        <v>20</v>
      </c>
      <c r="I3527" s="5" t="s">
        <v>8412</v>
      </c>
      <c r="J3527" s="12" t="str">
        <f>HYPERLINK("https://www.boe.es/gazeta/dias/1804/04/13/pdfs/GMD-1804-30.pdf#page=8","Abrir facsímil")</f>
        <v>Abrir facsímil</v>
      </c>
      <c r="K3527" s="15" t="s">
        <v>22</v>
      </c>
    </row>
    <row r="3528" spans="1:11" ht="42" customHeight="1">
      <c r="A3528" s="4" t="s">
        <v>8410</v>
      </c>
      <c r="B3528" s="5" t="s">
        <v>8411</v>
      </c>
      <c r="C3528" s="5" t="s">
        <v>17</v>
      </c>
      <c r="D3528" s="5" t="s">
        <v>18</v>
      </c>
      <c r="E3528" s="5" t="s">
        <v>1179</v>
      </c>
      <c r="F3528" s="9">
        <v>43</v>
      </c>
      <c r="G3528" s="9">
        <v>482</v>
      </c>
      <c r="H3528" s="5" t="s">
        <v>20</v>
      </c>
      <c r="I3528" s="5" t="s">
        <v>8413</v>
      </c>
      <c r="J3528" s="12" t="str">
        <f>HYPERLINK("https://www.boe.es/gazeta/dias/1804/05/29/pdfs/GMD-1804-43.pdf#page=8","Abrir facsímil")</f>
        <v>Abrir facsímil</v>
      </c>
      <c r="K3528" s="15" t="s">
        <v>22</v>
      </c>
    </row>
    <row r="3529" spans="1:11" ht="42" customHeight="1">
      <c r="A3529" s="4" t="s">
        <v>8410</v>
      </c>
      <c r="B3529" s="5" t="s">
        <v>8411</v>
      </c>
      <c r="C3529" s="5" t="s">
        <v>120</v>
      </c>
      <c r="D3529" s="5" t="s">
        <v>121</v>
      </c>
      <c r="E3529" s="5" t="s">
        <v>33</v>
      </c>
      <c r="F3529" s="9">
        <v>48</v>
      </c>
      <c r="G3529" s="9" t="s">
        <v>285</v>
      </c>
      <c r="H3529" s="5" t="s">
        <v>20</v>
      </c>
      <c r="I3529" s="5" t="s">
        <v>8414</v>
      </c>
      <c r="J3529" s="12" t="str">
        <f>HYPERLINK("https://www.boe.es/gazeta/dias/1804/06/15/pdfs/GMD-C-1804-48.pdf#page=2","Abrir facsímil")</f>
        <v>Abrir facsímil</v>
      </c>
      <c r="K3529" s="15" t="s">
        <v>22</v>
      </c>
    </row>
    <row r="3530" spans="1:11" ht="42" customHeight="1">
      <c r="A3530" s="4" t="s">
        <v>8410</v>
      </c>
      <c r="B3530" s="5" t="s">
        <v>8411</v>
      </c>
      <c r="C3530" s="5" t="s">
        <v>17</v>
      </c>
      <c r="D3530" s="5" t="s">
        <v>18</v>
      </c>
      <c r="E3530" s="5" t="s">
        <v>547</v>
      </c>
      <c r="F3530" s="9">
        <v>68</v>
      </c>
      <c r="G3530" s="9">
        <v>764</v>
      </c>
      <c r="H3530" s="5" t="s">
        <v>20</v>
      </c>
      <c r="I3530" s="5" t="s">
        <v>8415</v>
      </c>
      <c r="J3530" s="12" t="str">
        <f>HYPERLINK("https://www.boe.es/gazeta/dias/1804/08/24/pdfs/GMD-1804-68.pdf#page=10","Abrir facsímil")</f>
        <v>Abrir facsímil</v>
      </c>
      <c r="K3530" s="15" t="s">
        <v>22</v>
      </c>
    </row>
    <row r="3531" spans="1:11" ht="42" customHeight="1">
      <c r="A3531" s="4" t="s">
        <v>8416</v>
      </c>
      <c r="B3531" s="5" t="s">
        <v>8417</v>
      </c>
      <c r="C3531" s="5" t="s">
        <v>120</v>
      </c>
      <c r="D3531" s="5" t="s">
        <v>121</v>
      </c>
      <c r="E3531" s="5" t="s">
        <v>33</v>
      </c>
      <c r="F3531" s="9">
        <v>48</v>
      </c>
      <c r="G3531" s="9" t="s">
        <v>819</v>
      </c>
      <c r="H3531" s="5" t="s">
        <v>20</v>
      </c>
      <c r="I3531" s="5" t="s">
        <v>8418</v>
      </c>
      <c r="J3531" s="12" t="str">
        <f>HYPERLINK("https://www.boe.es/gazeta/dias/1804/06/15/pdfs/GMD-C-1804-48.pdf#page=4","Abrir facsímil")</f>
        <v>Abrir facsímil</v>
      </c>
      <c r="K3531" s="15" t="s">
        <v>22</v>
      </c>
    </row>
    <row r="3532" spans="1:11" ht="42" customHeight="1">
      <c r="A3532" s="4" t="s">
        <v>8419</v>
      </c>
      <c r="B3532" s="5" t="s">
        <v>8420</v>
      </c>
      <c r="C3532" s="5" t="s">
        <v>27</v>
      </c>
      <c r="D3532" s="5" t="s">
        <v>28</v>
      </c>
      <c r="E3532" s="5" t="s">
        <v>136</v>
      </c>
      <c r="F3532" s="9">
        <v>23</v>
      </c>
      <c r="G3532" s="9">
        <v>261</v>
      </c>
      <c r="H3532" s="5" t="s">
        <v>20</v>
      </c>
      <c r="I3532" s="5" t="s">
        <v>8421</v>
      </c>
      <c r="J3532" s="12" t="str">
        <f>HYPERLINK("https://www.boe.es/gazeta/dias/1804/03/20/pdfs/GMD-1804-23.pdf#page=7","Abrir facsímil")</f>
        <v>Abrir facsímil</v>
      </c>
      <c r="K3532" s="15" t="s">
        <v>22</v>
      </c>
    </row>
    <row r="3533" spans="1:11" ht="42" customHeight="1">
      <c r="A3533" s="4" t="s">
        <v>8422</v>
      </c>
      <c r="B3533" s="5" t="s">
        <v>8423</v>
      </c>
      <c r="C3533" s="5" t="s">
        <v>65</v>
      </c>
      <c r="D3533" s="5" t="s">
        <v>66</v>
      </c>
      <c r="E3533" s="5" t="s">
        <v>800</v>
      </c>
      <c r="F3533" s="9">
        <v>45</v>
      </c>
      <c r="G3533" s="9">
        <v>497</v>
      </c>
      <c r="H3533" s="5" t="s">
        <v>20</v>
      </c>
      <c r="I3533" s="5" t="s">
        <v>8424</v>
      </c>
      <c r="J3533" s="12" t="str">
        <f>HYPERLINK("https://www.boe.es/gazeta/dias/1804/06/05/pdfs/GMD-1804-45.pdf#page=7","Abrir facsímil")</f>
        <v>Abrir facsímil</v>
      </c>
      <c r="K3533" s="15" t="s">
        <v>22</v>
      </c>
    </row>
    <row r="3534" spans="1:11" ht="42" customHeight="1">
      <c r="A3534" s="4" t="s">
        <v>8425</v>
      </c>
      <c r="B3534" s="5" t="s">
        <v>8426</v>
      </c>
      <c r="C3534" s="5" t="s">
        <v>17</v>
      </c>
      <c r="D3534" s="5" t="s">
        <v>18</v>
      </c>
      <c r="E3534" s="5" t="s">
        <v>950</v>
      </c>
      <c r="F3534" s="9">
        <v>90</v>
      </c>
      <c r="G3534" s="9">
        <v>1000</v>
      </c>
      <c r="H3534" s="5" t="s">
        <v>20</v>
      </c>
      <c r="I3534" s="5" t="s">
        <v>8427</v>
      </c>
      <c r="J3534" s="12" t="str">
        <f>HYPERLINK("https://www.boe.es/gazeta/dias/1804/11/09/pdfs/GMD-1804-90.pdf#page=8","Abrir facsímil")</f>
        <v>Abrir facsímil</v>
      </c>
      <c r="K3534" s="15" t="s">
        <v>22</v>
      </c>
    </row>
    <row r="3535" spans="1:11" ht="42" customHeight="1">
      <c r="A3535" s="4" t="s">
        <v>8428</v>
      </c>
      <c r="B3535" s="5" t="s">
        <v>8429</v>
      </c>
      <c r="C3535" s="5" t="s">
        <v>17</v>
      </c>
      <c r="D3535" s="5" t="s">
        <v>18</v>
      </c>
      <c r="E3535" s="5" t="s">
        <v>159</v>
      </c>
      <c r="F3535" s="9">
        <v>15</v>
      </c>
      <c r="G3535" s="9">
        <v>163</v>
      </c>
      <c r="H3535" s="5" t="s">
        <v>20</v>
      </c>
      <c r="I3535" s="5" t="s">
        <v>8430</v>
      </c>
      <c r="J3535" s="12" t="str">
        <f>HYPERLINK("https://www.boe.es/gazeta/dias/1804/02/21/pdfs/GMD-1804-15.pdf#page=7","Abrir facsímil")</f>
        <v>Abrir facsímil</v>
      </c>
      <c r="K3535" s="15" t="s">
        <v>22</v>
      </c>
    </row>
    <row r="3536" spans="1:11" ht="42" customHeight="1">
      <c r="A3536" s="4" t="s">
        <v>8431</v>
      </c>
      <c r="B3536" s="5" t="s">
        <v>8432</v>
      </c>
      <c r="C3536" s="5" t="s">
        <v>17</v>
      </c>
      <c r="D3536" s="5" t="s">
        <v>18</v>
      </c>
      <c r="E3536" s="5" t="s">
        <v>453</v>
      </c>
      <c r="F3536" s="9">
        <v>33</v>
      </c>
      <c r="G3536" s="9">
        <v>365</v>
      </c>
      <c r="H3536" s="5" t="s">
        <v>20</v>
      </c>
      <c r="I3536" s="5" t="s">
        <v>8433</v>
      </c>
      <c r="J3536" s="12" t="str">
        <f>HYPERLINK("https://www.boe.es/gazeta/dias/1804/04/24/pdfs/GMD-1804-33.pdf#page=7","Abrir facsímil")</f>
        <v>Abrir facsímil</v>
      </c>
      <c r="K3536" s="15" t="s">
        <v>22</v>
      </c>
    </row>
    <row r="3537" spans="1:11" ht="42" customHeight="1">
      <c r="A3537" s="4" t="s">
        <v>8434</v>
      </c>
      <c r="B3537" s="5" t="s">
        <v>8434</v>
      </c>
      <c r="C3537" s="5" t="s">
        <v>27</v>
      </c>
      <c r="D3537" s="5" t="s">
        <v>28</v>
      </c>
      <c r="E3537" s="5" t="s">
        <v>175</v>
      </c>
      <c r="F3537" s="9">
        <v>58</v>
      </c>
      <c r="G3537" s="9">
        <v>639</v>
      </c>
      <c r="H3537" s="5" t="s">
        <v>20</v>
      </c>
      <c r="I3537" s="5" t="s">
        <v>8435</v>
      </c>
      <c r="J3537" s="12" t="str">
        <f>HYPERLINK("https://www.boe.es/gazeta/dias/1804/07/20/pdfs/GMD-1804-58.pdf#page=5","Abrir facsímil")</f>
        <v>Abrir facsímil</v>
      </c>
      <c r="K3537" s="15" t="s">
        <v>22</v>
      </c>
    </row>
    <row r="3538" spans="1:11" ht="42" customHeight="1">
      <c r="A3538" s="4" t="s">
        <v>8436</v>
      </c>
      <c r="B3538" s="5" t="s">
        <v>8437</v>
      </c>
      <c r="C3538" s="5" t="s">
        <v>198</v>
      </c>
      <c r="D3538" s="5" t="s">
        <v>66</v>
      </c>
      <c r="E3538" s="5" t="s">
        <v>41</v>
      </c>
      <c r="F3538" s="9">
        <v>24</v>
      </c>
      <c r="G3538" s="9">
        <v>277</v>
      </c>
      <c r="H3538" s="5" t="s">
        <v>20</v>
      </c>
      <c r="I3538" s="5" t="s">
        <v>8438</v>
      </c>
      <c r="J3538" s="12" t="str">
        <f>HYPERLINK("https://www.boe.es/gazeta/dias/1804/03/23/pdfs/GMD-1804-24.pdf#page=11","Abrir facsímil")</f>
        <v>Abrir facsímil</v>
      </c>
      <c r="K3538" s="15" t="s">
        <v>22</v>
      </c>
    </row>
    <row r="3539" spans="1:11" ht="42" customHeight="1">
      <c r="A3539" s="4" t="s">
        <v>8439</v>
      </c>
      <c r="B3539" s="5" t="s">
        <v>8440</v>
      </c>
      <c r="C3539" s="5" t="s">
        <v>27</v>
      </c>
      <c r="D3539" s="5" t="s">
        <v>28</v>
      </c>
      <c r="E3539" s="5" t="s">
        <v>155</v>
      </c>
      <c r="F3539" s="9">
        <v>92</v>
      </c>
      <c r="G3539" s="9">
        <v>1020</v>
      </c>
      <c r="H3539" s="5" t="s">
        <v>20</v>
      </c>
      <c r="I3539" s="5" t="s">
        <v>8441</v>
      </c>
      <c r="J3539" s="12" t="str">
        <f>HYPERLINK("https://www.boe.es/gazeta/dias/1804/11/16/pdfs/GMD-1804-92.pdf#page=8","Abrir facsímil")</f>
        <v>Abrir facsímil</v>
      </c>
      <c r="K3539" s="15" t="s">
        <v>22</v>
      </c>
    </row>
    <row r="3540" spans="1:11" ht="42" customHeight="1">
      <c r="A3540" s="4" t="s">
        <v>8442</v>
      </c>
      <c r="B3540" s="5" t="s">
        <v>8443</v>
      </c>
      <c r="C3540" s="5" t="s">
        <v>27</v>
      </c>
      <c r="D3540" s="5" t="s">
        <v>28</v>
      </c>
      <c r="E3540" s="5" t="s">
        <v>339</v>
      </c>
      <c r="F3540" s="9">
        <v>94</v>
      </c>
      <c r="G3540" s="9">
        <v>1037</v>
      </c>
      <c r="H3540" s="5" t="s">
        <v>20</v>
      </c>
      <c r="I3540" s="5" t="s">
        <v>8444</v>
      </c>
      <c r="J3540" s="12" t="str">
        <f>HYPERLINK("https://www.boe.es/gazeta/dias/1804/11/23/pdfs/GMD-1804-94.pdf#page=5","Abrir facsímil")</f>
        <v>Abrir facsímil</v>
      </c>
      <c r="K3540" s="15" t="s">
        <v>22</v>
      </c>
    </row>
    <row r="3541" spans="1:11" ht="42" customHeight="1">
      <c r="A3541" s="4" t="s">
        <v>8445</v>
      </c>
      <c r="B3541" s="5" t="s">
        <v>8446</v>
      </c>
      <c r="C3541" s="5" t="s">
        <v>85</v>
      </c>
      <c r="D3541" s="5" t="s">
        <v>86</v>
      </c>
      <c r="E3541" s="5" t="s">
        <v>308</v>
      </c>
      <c r="F3541" s="9">
        <v>96</v>
      </c>
      <c r="G3541" s="9">
        <v>1069</v>
      </c>
      <c r="H3541" s="5" t="s">
        <v>20</v>
      </c>
      <c r="I3541" s="5" t="s">
        <v>8447</v>
      </c>
      <c r="J3541" s="12" t="str">
        <f>HYPERLINK("https://www.boe.es/gazeta/dias/1804/11/30/pdfs/GMD-1804-96.pdf#page=9","Abrir facsímil")</f>
        <v>Abrir facsímil</v>
      </c>
      <c r="K3541" s="15" t="s">
        <v>22</v>
      </c>
    </row>
    <row r="3542" spans="1:11" ht="42" customHeight="1">
      <c r="A3542" s="4" t="s">
        <v>8448</v>
      </c>
      <c r="B3542" s="5" t="s">
        <v>8448</v>
      </c>
      <c r="C3542" s="5" t="s">
        <v>57</v>
      </c>
      <c r="D3542" s="5" t="s">
        <v>58</v>
      </c>
      <c r="E3542" s="5" t="s">
        <v>623</v>
      </c>
      <c r="F3542" s="9">
        <v>51</v>
      </c>
      <c r="G3542" s="9">
        <v>558</v>
      </c>
      <c r="H3542" s="5" t="s">
        <v>20</v>
      </c>
      <c r="I3542" s="5" t="s">
        <v>8449</v>
      </c>
      <c r="J3542" s="12" t="str">
        <f>HYPERLINK("https://www.boe.es/gazeta/dias/1804/06/26/pdfs/GMD-1804-51.pdf#page=4","Abrir facsímil")</f>
        <v>Abrir facsímil</v>
      </c>
      <c r="K3542" s="15" t="s">
        <v>22</v>
      </c>
    </row>
    <row r="3543" spans="1:11" ht="42" customHeight="1">
      <c r="A3543" s="4" t="s">
        <v>8448</v>
      </c>
      <c r="B3543" s="5" t="s">
        <v>8448</v>
      </c>
      <c r="C3543" s="5" t="s">
        <v>17</v>
      </c>
      <c r="D3543" s="5" t="s">
        <v>18</v>
      </c>
      <c r="E3543" s="5" t="s">
        <v>332</v>
      </c>
      <c r="F3543" s="9">
        <v>66</v>
      </c>
      <c r="G3543" s="9">
        <v>739</v>
      </c>
      <c r="H3543" s="5" t="s">
        <v>20</v>
      </c>
      <c r="I3543" s="5" t="s">
        <v>8450</v>
      </c>
      <c r="J3543" s="12" t="str">
        <f>HYPERLINK("https://www.boe.es/gazeta/dias/1804/08/17/pdfs/GMD-1804-66.pdf#page=5","Abrir facsímil")</f>
        <v>Abrir facsímil</v>
      </c>
      <c r="K3543" s="15" t="s">
        <v>22</v>
      </c>
    </row>
    <row r="3544" spans="1:11" ht="42" customHeight="1">
      <c r="A3544" s="4" t="s">
        <v>8451</v>
      </c>
      <c r="B3544" s="5" t="s">
        <v>8452</v>
      </c>
      <c r="C3544" s="5" t="s">
        <v>17</v>
      </c>
      <c r="D3544" s="5" t="s">
        <v>18</v>
      </c>
      <c r="E3544" s="5" t="s">
        <v>511</v>
      </c>
      <c r="F3544" s="9">
        <v>12</v>
      </c>
      <c r="G3544" s="9">
        <v>134</v>
      </c>
      <c r="H3544" s="5" t="s">
        <v>20</v>
      </c>
      <c r="I3544" s="5" t="s">
        <v>8453</v>
      </c>
      <c r="J3544" s="12" t="str">
        <f>HYPERLINK("https://www.boe.es/gazeta/dias/1804/02/10/pdfs/GMD-1804-12.pdf#page=10","Abrir facsímil")</f>
        <v>Abrir facsímil</v>
      </c>
      <c r="K3544" s="15" t="s">
        <v>22</v>
      </c>
    </row>
    <row r="3545" spans="1:11" ht="42" customHeight="1">
      <c r="A3545" s="4" t="s">
        <v>8454</v>
      </c>
      <c r="B3545" s="5" t="s">
        <v>8454</v>
      </c>
      <c r="C3545" s="5" t="s">
        <v>27</v>
      </c>
      <c r="D3545" s="5" t="s">
        <v>28</v>
      </c>
      <c r="E3545" s="5" t="s">
        <v>140</v>
      </c>
      <c r="F3545" s="9">
        <v>39</v>
      </c>
      <c r="G3545" s="9">
        <v>436</v>
      </c>
      <c r="H3545" s="5" t="s">
        <v>20</v>
      </c>
      <c r="I3545" s="5" t="s">
        <v>8455</v>
      </c>
      <c r="J3545" s="12" t="str">
        <f>HYPERLINK("https://www.boe.es/gazeta/dias/1804/05/15/pdfs/GMD-1804-39.pdf#page=10","Abrir facsímil")</f>
        <v>Abrir facsímil</v>
      </c>
      <c r="K3545" s="15" t="s">
        <v>22</v>
      </c>
    </row>
    <row r="3546" spans="1:11" ht="42" customHeight="1">
      <c r="A3546" s="4" t="s">
        <v>8456</v>
      </c>
      <c r="B3546" s="5" t="s">
        <v>8456</v>
      </c>
      <c r="C3546" s="5" t="s">
        <v>27</v>
      </c>
      <c r="D3546" s="5" t="s">
        <v>28</v>
      </c>
      <c r="E3546" s="5" t="s">
        <v>67</v>
      </c>
      <c r="F3546" s="9">
        <v>59</v>
      </c>
      <c r="G3546" s="9">
        <v>654</v>
      </c>
      <c r="H3546" s="5" t="s">
        <v>20</v>
      </c>
      <c r="I3546" s="5" t="s">
        <v>8457</v>
      </c>
      <c r="J3546" s="12" t="str">
        <f>HYPERLINK("https://www.boe.es/gazeta/dias/1804/07/24/pdfs/GMD-1804-59.pdf#page=8","Abrir facsímil")</f>
        <v>Abrir facsímil</v>
      </c>
      <c r="K3546" s="15" t="s">
        <v>22</v>
      </c>
    </row>
    <row r="3547" spans="1:11" ht="42" customHeight="1">
      <c r="A3547" s="4" t="s">
        <v>8458</v>
      </c>
      <c r="B3547" s="5" t="s">
        <v>8458</v>
      </c>
      <c r="C3547" s="5" t="s">
        <v>17</v>
      </c>
      <c r="D3547" s="5" t="s">
        <v>18</v>
      </c>
      <c r="E3547" s="5" t="s">
        <v>172</v>
      </c>
      <c r="F3547" s="9">
        <v>38</v>
      </c>
      <c r="G3547" s="9">
        <v>424</v>
      </c>
      <c r="H3547" s="5" t="s">
        <v>20</v>
      </c>
      <c r="I3547" s="5" t="s">
        <v>8459</v>
      </c>
      <c r="J3547" s="12" t="str">
        <f>HYPERLINK("https://www.boe.es/gazeta/dias/1804/05/11/pdfs/GMD-1804-38.pdf#page=10","Abrir facsímil")</f>
        <v>Abrir facsímil</v>
      </c>
      <c r="K3547" s="15" t="s">
        <v>22</v>
      </c>
    </row>
    <row r="3548" spans="1:11" ht="42" customHeight="1">
      <c r="A3548" s="4" t="s">
        <v>8460</v>
      </c>
      <c r="B3548" s="5" t="s">
        <v>8461</v>
      </c>
      <c r="C3548" s="5" t="s">
        <v>27</v>
      </c>
      <c r="D3548" s="5" t="s">
        <v>28</v>
      </c>
      <c r="E3548" s="5" t="s">
        <v>258</v>
      </c>
      <c r="F3548" s="9">
        <v>14</v>
      </c>
      <c r="G3548" s="9">
        <v>153</v>
      </c>
      <c r="H3548" s="5" t="s">
        <v>20</v>
      </c>
      <c r="I3548" s="5" t="s">
        <v>8462</v>
      </c>
      <c r="J3548" s="12" t="str">
        <f>HYPERLINK("https://www.boe.es/gazeta/dias/1804/02/17/pdfs/GMD-1804-14.pdf#page=9","Abrir facsímil")</f>
        <v>Abrir facsímil</v>
      </c>
      <c r="K3548" s="15" t="s">
        <v>22</v>
      </c>
    </row>
    <row r="3549" spans="1:11" ht="42" customHeight="1">
      <c r="A3549" s="4" t="s">
        <v>8463</v>
      </c>
      <c r="B3549" s="5" t="s">
        <v>8463</v>
      </c>
      <c r="C3549" s="5" t="s">
        <v>17</v>
      </c>
      <c r="D3549" s="5" t="s">
        <v>18</v>
      </c>
      <c r="E3549" s="5" t="s">
        <v>704</v>
      </c>
      <c r="F3549" s="9">
        <v>36</v>
      </c>
      <c r="G3549" s="9">
        <v>400</v>
      </c>
      <c r="H3549" s="5" t="s">
        <v>20</v>
      </c>
      <c r="I3549" s="5" t="s">
        <v>8464</v>
      </c>
      <c r="J3549" s="12" t="str">
        <f>HYPERLINK("https://www.boe.es/gazeta/dias/1804/05/04/pdfs/GMD-1804-36.pdf#page=10","Abrir facsímil")</f>
        <v>Abrir facsímil</v>
      </c>
      <c r="K3549" s="15" t="s">
        <v>22</v>
      </c>
    </row>
    <row r="3550" spans="1:11" ht="42" customHeight="1">
      <c r="A3550" s="4" t="s">
        <v>8465</v>
      </c>
      <c r="B3550" s="5" t="s">
        <v>8466</v>
      </c>
      <c r="C3550" s="5" t="s">
        <v>27</v>
      </c>
      <c r="D3550" s="5" t="s">
        <v>28</v>
      </c>
      <c r="E3550" s="5" t="s">
        <v>91</v>
      </c>
      <c r="F3550" s="9">
        <v>72</v>
      </c>
      <c r="G3550" s="9">
        <v>804</v>
      </c>
      <c r="H3550" s="5" t="s">
        <v>20</v>
      </c>
      <c r="I3550" s="5" t="s">
        <v>8467</v>
      </c>
      <c r="J3550" s="12" t="str">
        <f>HYPERLINK("https://www.boe.es/gazeta/dias/1804/09/07/pdfs/GMD-1804-72.pdf#page=6","Abrir facsímil")</f>
        <v>Abrir facsímil</v>
      </c>
      <c r="K3550" s="15" t="s">
        <v>22</v>
      </c>
    </row>
    <row r="3551" spans="1:11" ht="42" customHeight="1">
      <c r="A3551" s="4" t="s">
        <v>8468</v>
      </c>
      <c r="B3551" s="5" t="s">
        <v>8469</v>
      </c>
      <c r="C3551" s="5" t="s">
        <v>198</v>
      </c>
      <c r="D3551" s="5" t="s">
        <v>66</v>
      </c>
      <c r="E3551" s="5" t="s">
        <v>50</v>
      </c>
      <c r="F3551" s="9">
        <v>93</v>
      </c>
      <c r="G3551" s="9">
        <v>1029</v>
      </c>
      <c r="H3551" s="5" t="s">
        <v>20</v>
      </c>
      <c r="I3551" s="5" t="s">
        <v>8470</v>
      </c>
      <c r="J3551" s="12" t="str">
        <f>HYPERLINK("https://www.boe.es/gazeta/dias/1804/11/20/pdfs/GMD-1804-93.pdf#page=5","Abrir facsímil")</f>
        <v>Abrir facsímil</v>
      </c>
      <c r="K3551" s="15" t="s">
        <v>22</v>
      </c>
    </row>
    <row r="3552" spans="1:11" ht="42" customHeight="1">
      <c r="A3552" s="4" t="s">
        <v>8471</v>
      </c>
      <c r="B3552" s="5" t="s">
        <v>8472</v>
      </c>
      <c r="C3552" s="5" t="s">
        <v>85</v>
      </c>
      <c r="D3552" s="5" t="s">
        <v>86</v>
      </c>
      <c r="E3552" s="5" t="s">
        <v>136</v>
      </c>
      <c r="F3552" s="9">
        <v>23</v>
      </c>
      <c r="G3552" s="9">
        <v>257</v>
      </c>
      <c r="H3552" s="5" t="s">
        <v>20</v>
      </c>
      <c r="I3552" s="5" t="s">
        <v>8473</v>
      </c>
      <c r="J3552" s="12" t="str">
        <f>HYPERLINK("https://www.boe.es/gazeta/dias/1804/03/20/pdfs/GMD-1804-23.pdf#page=3","Abrir facsímil")</f>
        <v>Abrir facsímil</v>
      </c>
      <c r="K3552" s="15" t="s">
        <v>22</v>
      </c>
    </row>
    <row r="3553" spans="1:11" ht="42" customHeight="1">
      <c r="A3553" s="4" t="s">
        <v>8471</v>
      </c>
      <c r="B3553" s="5" t="s">
        <v>8472</v>
      </c>
      <c r="C3553" s="5" t="s">
        <v>57</v>
      </c>
      <c r="D3553" s="5" t="s">
        <v>58</v>
      </c>
      <c r="E3553" s="5" t="s">
        <v>800</v>
      </c>
      <c r="F3553" s="9">
        <v>45</v>
      </c>
      <c r="G3553" s="9">
        <v>498</v>
      </c>
      <c r="H3553" s="5" t="s">
        <v>20</v>
      </c>
      <c r="I3553" s="5" t="s">
        <v>8474</v>
      </c>
      <c r="J3553" s="12" t="str">
        <f>HYPERLINK("https://www.boe.es/gazeta/dias/1804/06/05/pdfs/GMD-1804-45.pdf#page=8","Abrir facsímil")</f>
        <v>Abrir facsímil</v>
      </c>
      <c r="K3553" s="15" t="s">
        <v>22</v>
      </c>
    </row>
    <row r="3554" spans="1:11" ht="42" customHeight="1">
      <c r="A3554" s="4" t="s">
        <v>8475</v>
      </c>
      <c r="B3554" s="5" t="s">
        <v>8476</v>
      </c>
      <c r="C3554" s="5" t="s">
        <v>17</v>
      </c>
      <c r="D3554" s="5" t="s">
        <v>18</v>
      </c>
      <c r="E3554" s="5" t="s">
        <v>421</v>
      </c>
      <c r="F3554" s="9">
        <v>47</v>
      </c>
      <c r="G3554" s="9">
        <v>526</v>
      </c>
      <c r="H3554" s="5" t="s">
        <v>20</v>
      </c>
      <c r="I3554" s="5" t="s">
        <v>8477</v>
      </c>
      <c r="J3554" s="12" t="str">
        <f>HYPERLINK("https://www.boe.es/gazeta/dias/1804/06/12/pdfs/GMD-1804-47.pdf#page=8","Abrir facsímil")</f>
        <v>Abrir facsímil</v>
      </c>
      <c r="K3554" s="15" t="s">
        <v>22</v>
      </c>
    </row>
    <row r="3555" spans="1:11" ht="42" customHeight="1">
      <c r="A3555" s="4" t="s">
        <v>8471</v>
      </c>
      <c r="B3555" s="5" t="s">
        <v>8472</v>
      </c>
      <c r="C3555" s="5" t="s">
        <v>27</v>
      </c>
      <c r="D3555" s="5" t="s">
        <v>28</v>
      </c>
      <c r="E3555" s="5" t="s">
        <v>147</v>
      </c>
      <c r="F3555" s="9">
        <v>77</v>
      </c>
      <c r="G3555" s="9">
        <v>857</v>
      </c>
      <c r="H3555" s="5" t="s">
        <v>20</v>
      </c>
      <c r="I3555" s="5" t="s">
        <v>8478</v>
      </c>
      <c r="J3555" s="12" t="str">
        <f>HYPERLINK("https://www.boe.es/gazeta/dias/1804/09/25/pdfs/GMD-1804-77.pdf#page=7","Abrir facsímil")</f>
        <v>Abrir facsímil</v>
      </c>
      <c r="K3555" s="15" t="s">
        <v>22</v>
      </c>
    </row>
    <row r="3556" spans="1:11" ht="42" customHeight="1">
      <c r="A3556" s="4" t="s">
        <v>8471</v>
      </c>
      <c r="B3556" s="5" t="s">
        <v>8472</v>
      </c>
      <c r="C3556" s="5" t="s">
        <v>57</v>
      </c>
      <c r="D3556" s="5" t="s">
        <v>58</v>
      </c>
      <c r="E3556" s="5" t="s">
        <v>308</v>
      </c>
      <c r="F3556" s="9">
        <v>96</v>
      </c>
      <c r="G3556" s="9">
        <v>1063</v>
      </c>
      <c r="H3556" s="5" t="s">
        <v>20</v>
      </c>
      <c r="I3556" s="5" t="s">
        <v>8479</v>
      </c>
      <c r="J3556" s="12" t="str">
        <f>HYPERLINK("https://www.boe.es/gazeta/dias/1804/11/30/pdfs/GMD-1804-96.pdf#page=3","Abrir facsímil")</f>
        <v>Abrir facsímil</v>
      </c>
      <c r="K3556" s="15" t="s">
        <v>22</v>
      </c>
    </row>
    <row r="3557" spans="1:11" ht="42" customHeight="1">
      <c r="A3557" s="4" t="s">
        <v>8471</v>
      </c>
      <c r="B3557" s="5" t="s">
        <v>8472</v>
      </c>
      <c r="C3557" s="5" t="s">
        <v>17</v>
      </c>
      <c r="D3557" s="5" t="s">
        <v>18</v>
      </c>
      <c r="E3557" s="5" t="s">
        <v>490</v>
      </c>
      <c r="F3557" s="9">
        <v>100</v>
      </c>
      <c r="G3557" s="9">
        <v>1115</v>
      </c>
      <c r="H3557" s="5" t="s">
        <v>20</v>
      </c>
      <c r="I3557" s="5" t="s">
        <v>8480</v>
      </c>
      <c r="J3557" s="12" t="str">
        <f>HYPERLINK("https://www.boe.es/gazeta/dias/1804/12/14/pdfs/GMD-1804-100.pdf#page=7","Abrir facsímil")</f>
        <v>Abrir facsímil</v>
      </c>
      <c r="K3557" s="15" t="s">
        <v>22</v>
      </c>
    </row>
    <row r="3558" spans="1:11" ht="42" customHeight="1">
      <c r="A3558" s="4" t="s">
        <v>8481</v>
      </c>
      <c r="B3558" s="5" t="s">
        <v>8482</v>
      </c>
      <c r="C3558" s="5" t="s">
        <v>57</v>
      </c>
      <c r="D3558" s="5" t="s">
        <v>58</v>
      </c>
      <c r="E3558" s="5" t="s">
        <v>427</v>
      </c>
      <c r="F3558" s="9">
        <v>80</v>
      </c>
      <c r="G3558" s="9">
        <v>884</v>
      </c>
      <c r="H3558" s="5" t="s">
        <v>20</v>
      </c>
      <c r="I3558" s="5" t="s">
        <v>8483</v>
      </c>
      <c r="J3558" s="12" t="str">
        <f>HYPERLINK("https://www.boe.es/gazeta/dias/1804/10/05/pdfs/GMD-1804-80.pdf#page=2","Abrir facsímil")</f>
        <v>Abrir facsímil</v>
      </c>
      <c r="K3558" s="15" t="s">
        <v>22</v>
      </c>
    </row>
    <row r="3559" spans="1:11" ht="42" customHeight="1">
      <c r="A3559" s="4" t="s">
        <v>8484</v>
      </c>
      <c r="B3559" s="5" t="s">
        <v>8485</v>
      </c>
      <c r="C3559" s="5" t="s">
        <v>65</v>
      </c>
      <c r="D3559" s="5" t="s">
        <v>66</v>
      </c>
      <c r="E3559" s="5" t="s">
        <v>59</v>
      </c>
      <c r="F3559" s="9">
        <v>55</v>
      </c>
      <c r="G3559" s="9">
        <v>612</v>
      </c>
      <c r="H3559" s="5" t="s">
        <v>20</v>
      </c>
      <c r="I3559" s="5" t="s">
        <v>8486</v>
      </c>
      <c r="J3559" s="12" t="str">
        <f>HYPERLINK("https://www.boe.es/gazeta/dias/1804/07/10/pdfs/GMD-1804-55.pdf#page=10","Abrir facsímil")</f>
        <v>Abrir facsímil</v>
      </c>
      <c r="K3559" s="15" t="s">
        <v>22</v>
      </c>
    </row>
    <row r="3560" spans="1:11" ht="42" customHeight="1">
      <c r="A3560" s="4" t="s">
        <v>8487</v>
      </c>
      <c r="B3560" s="5" t="s">
        <v>8488</v>
      </c>
      <c r="C3560" s="5" t="s">
        <v>17</v>
      </c>
      <c r="D3560" s="5" t="s">
        <v>18</v>
      </c>
      <c r="E3560" s="5" t="s">
        <v>143</v>
      </c>
      <c r="F3560" s="9">
        <v>87</v>
      </c>
      <c r="G3560" s="9">
        <v>961</v>
      </c>
      <c r="H3560" s="5" t="s">
        <v>20</v>
      </c>
      <c r="I3560" s="5" t="s">
        <v>8489</v>
      </c>
      <c r="J3560" s="12" t="str">
        <f>HYPERLINK("https://www.boe.es/gazeta/dias/1804/10/30/pdfs/GMD-1804-87.pdf#page=5","Abrir facsímil")</f>
        <v>Abrir facsímil</v>
      </c>
      <c r="K3560" s="15" t="s">
        <v>22</v>
      </c>
    </row>
    <row r="3561" spans="1:11" ht="42" customHeight="1">
      <c r="A3561" s="4" t="s">
        <v>8490</v>
      </c>
      <c r="B3561" s="5" t="s">
        <v>8491</v>
      </c>
      <c r="C3561" s="5" t="s">
        <v>27</v>
      </c>
      <c r="D3561" s="5" t="s">
        <v>28</v>
      </c>
      <c r="E3561" s="5" t="s">
        <v>308</v>
      </c>
      <c r="F3561" s="9">
        <v>96</v>
      </c>
      <c r="G3561" s="9">
        <v>1068</v>
      </c>
      <c r="H3561" s="5" t="s">
        <v>20</v>
      </c>
      <c r="I3561" s="5" t="s">
        <v>8492</v>
      </c>
      <c r="J3561" s="12" t="str">
        <f>HYPERLINK("https://www.boe.es/gazeta/dias/1804/11/30/pdfs/GMD-1804-96.pdf#page=8","Abrir facsímil")</f>
        <v>Abrir facsímil</v>
      </c>
      <c r="K3561" s="15" t="s">
        <v>22</v>
      </c>
    </row>
    <row r="3562" spans="1:11" ht="42" customHeight="1">
      <c r="A3562" s="4" t="s">
        <v>8493</v>
      </c>
      <c r="B3562" s="5" t="s">
        <v>8494</v>
      </c>
      <c r="C3562" s="5" t="s">
        <v>198</v>
      </c>
      <c r="D3562" s="5" t="s">
        <v>66</v>
      </c>
      <c r="E3562" s="5" t="s">
        <v>398</v>
      </c>
      <c r="F3562" s="9">
        <v>22</v>
      </c>
      <c r="G3562" s="9">
        <v>245</v>
      </c>
      <c r="H3562" s="5" t="s">
        <v>20</v>
      </c>
      <c r="I3562" s="5" t="s">
        <v>8495</v>
      </c>
      <c r="J3562" s="12" t="str">
        <f>HYPERLINK("https://www.boe.es/gazeta/dias/1804/03/16/pdfs/GMD-1804-22.pdf#page=9","Abrir facsímil")</f>
        <v>Abrir facsímil</v>
      </c>
      <c r="K3562" s="15" t="s">
        <v>22</v>
      </c>
    </row>
    <row r="3563" spans="1:11" ht="42" customHeight="1">
      <c r="A3563" s="4" t="s">
        <v>8496</v>
      </c>
      <c r="B3563" s="5" t="s">
        <v>8497</v>
      </c>
      <c r="C3563" s="5" t="s">
        <v>17</v>
      </c>
      <c r="D3563" s="5" t="s">
        <v>18</v>
      </c>
      <c r="E3563" s="5" t="s">
        <v>212</v>
      </c>
      <c r="F3563" s="9">
        <v>89</v>
      </c>
      <c r="G3563" s="9">
        <v>990</v>
      </c>
      <c r="H3563" s="5" t="s">
        <v>20</v>
      </c>
      <c r="I3563" s="5" t="s">
        <v>8498</v>
      </c>
      <c r="J3563" s="12" t="str">
        <f>HYPERLINK("https://www.boe.es/gazeta/dias/1804/11/06/pdfs/GMD-1804-89.pdf#page=10","Abrir facsímil")</f>
        <v>Abrir facsímil</v>
      </c>
      <c r="K3563" s="15" t="s">
        <v>22</v>
      </c>
    </row>
    <row r="3564" spans="1:11" ht="42" customHeight="1">
      <c r="A3564" s="4" t="s">
        <v>8499</v>
      </c>
      <c r="B3564" s="5" t="s">
        <v>8500</v>
      </c>
      <c r="C3564" s="5" t="s">
        <v>27</v>
      </c>
      <c r="D3564" s="5" t="s">
        <v>28</v>
      </c>
      <c r="E3564" s="5" t="s">
        <v>61</v>
      </c>
      <c r="F3564" s="9">
        <v>61</v>
      </c>
      <c r="G3564" s="9">
        <v>674</v>
      </c>
      <c r="H3564" s="5" t="s">
        <v>20</v>
      </c>
      <c r="I3564" s="5" t="s">
        <v>8501</v>
      </c>
      <c r="J3564" s="12" t="str">
        <f>HYPERLINK("https://www.boe.es/gazeta/dias/1804/07/31/pdfs/GMD-1804-61.pdf#page=4","Abrir facsímil")</f>
        <v>Abrir facsímil</v>
      </c>
      <c r="K3564" s="15" t="s">
        <v>22</v>
      </c>
    </row>
    <row r="3565" spans="1:11" ht="42" customHeight="1">
      <c r="A3565" s="4" t="s">
        <v>8502</v>
      </c>
      <c r="B3565" s="5" t="s">
        <v>8502</v>
      </c>
      <c r="C3565" s="5" t="s">
        <v>17</v>
      </c>
      <c r="D3565" s="5" t="s">
        <v>18</v>
      </c>
      <c r="E3565" s="5" t="s">
        <v>71</v>
      </c>
      <c r="F3565" s="9">
        <v>99</v>
      </c>
      <c r="G3565" s="9">
        <v>1106</v>
      </c>
      <c r="H3565" s="5" t="s">
        <v>20</v>
      </c>
      <c r="I3565" s="5" t="s">
        <v>8503</v>
      </c>
      <c r="J3565" s="12" t="str">
        <f>HYPERLINK("https://www.boe.es/gazeta/dias/1804/12/11/pdfs/GMD-1804-99.pdf#page=6","Abrir facsímil")</f>
        <v>Abrir facsímil</v>
      </c>
      <c r="K3565" s="15" t="s">
        <v>22</v>
      </c>
    </row>
    <row r="3566" spans="1:11" ht="42" customHeight="1">
      <c r="A3566" s="4" t="s">
        <v>8504</v>
      </c>
      <c r="B3566" s="5" t="s">
        <v>8505</v>
      </c>
      <c r="C3566" s="5" t="s">
        <v>17</v>
      </c>
      <c r="D3566" s="5" t="s">
        <v>18</v>
      </c>
      <c r="E3566" s="5" t="s">
        <v>547</v>
      </c>
      <c r="F3566" s="9">
        <v>68</v>
      </c>
      <c r="G3566" s="9">
        <v>764</v>
      </c>
      <c r="H3566" s="5" t="s">
        <v>20</v>
      </c>
      <c r="I3566" s="5" t="s">
        <v>8506</v>
      </c>
      <c r="J3566" s="12" t="str">
        <f>HYPERLINK("https://www.boe.es/gazeta/dias/1804/08/24/pdfs/GMD-1804-68.pdf#page=10","Abrir facsímil")</f>
        <v>Abrir facsímil</v>
      </c>
      <c r="K3566" s="15" t="s">
        <v>22</v>
      </c>
    </row>
    <row r="3567" spans="1:11" ht="42" customHeight="1">
      <c r="A3567" s="4" t="s">
        <v>8507</v>
      </c>
      <c r="B3567" s="5" t="s">
        <v>8507</v>
      </c>
      <c r="C3567" s="5" t="s">
        <v>17</v>
      </c>
      <c r="D3567" s="5" t="s">
        <v>18</v>
      </c>
      <c r="E3567" s="5" t="s">
        <v>794</v>
      </c>
      <c r="F3567" s="9">
        <v>42</v>
      </c>
      <c r="G3567" s="9">
        <v>472</v>
      </c>
      <c r="H3567" s="5" t="s">
        <v>20</v>
      </c>
      <c r="I3567" s="5" t="s">
        <v>8508</v>
      </c>
      <c r="J3567" s="12" t="str">
        <f>HYPERLINK("https://www.boe.es/gazeta/dias/1804/05/25/pdfs/GMD-1804-42.pdf#page=10","Abrir facsímil")</f>
        <v>Abrir facsímil</v>
      </c>
      <c r="K3567" s="15" t="s">
        <v>22</v>
      </c>
    </row>
    <row r="3568" spans="1:11" ht="42" customHeight="1">
      <c r="A3568" s="4" t="s">
        <v>8509</v>
      </c>
      <c r="B3568" s="5" t="s">
        <v>8510</v>
      </c>
      <c r="C3568" s="5" t="s">
        <v>27</v>
      </c>
      <c r="D3568" s="5" t="s">
        <v>28</v>
      </c>
      <c r="E3568" s="5" t="s">
        <v>37</v>
      </c>
      <c r="F3568" s="9">
        <v>29</v>
      </c>
      <c r="G3568" s="9">
        <v>320</v>
      </c>
      <c r="H3568" s="5" t="s">
        <v>20</v>
      </c>
      <c r="I3568" s="5" t="s">
        <v>8511</v>
      </c>
      <c r="J3568" s="12" t="str">
        <f>HYPERLINK("https://www.boe.es/gazeta/dias/1804/04/10/pdfs/GMD-1804-29.pdf#page=10","Abrir facsímil")</f>
        <v>Abrir facsímil</v>
      </c>
      <c r="K3568" s="15" t="s">
        <v>22</v>
      </c>
    </row>
    <row r="3569" spans="1:11" ht="42" customHeight="1">
      <c r="A3569" s="4" t="s">
        <v>8512</v>
      </c>
      <c r="B3569" s="5" t="s">
        <v>8513</v>
      </c>
      <c r="C3569" s="5" t="s">
        <v>65</v>
      </c>
      <c r="D3569" s="5" t="s">
        <v>66</v>
      </c>
      <c r="E3569" s="5" t="s">
        <v>298</v>
      </c>
      <c r="F3569" s="9">
        <v>10</v>
      </c>
      <c r="G3569" s="9">
        <v>109</v>
      </c>
      <c r="H3569" s="5" t="s">
        <v>20</v>
      </c>
      <c r="I3569" s="5" t="s">
        <v>8514</v>
      </c>
      <c r="J3569" s="12" t="str">
        <f>HYPERLINK("https://www.boe.es/gazeta/dias/1804/02/03/pdfs/GMD-1804-10.pdf#page=9","Abrir facsímil")</f>
        <v>Abrir facsímil</v>
      </c>
      <c r="K3569" s="15" t="s">
        <v>22</v>
      </c>
    </row>
    <row r="3570" spans="1:11" ht="42" customHeight="1">
      <c r="A3570" s="4" t="s">
        <v>8515</v>
      </c>
      <c r="B3570" s="5" t="s">
        <v>8516</v>
      </c>
      <c r="C3570" s="5" t="s">
        <v>27</v>
      </c>
      <c r="D3570" s="5" t="s">
        <v>28</v>
      </c>
      <c r="E3570" s="5" t="s">
        <v>497</v>
      </c>
      <c r="F3570" s="9">
        <v>25</v>
      </c>
      <c r="G3570" s="9">
        <v>284</v>
      </c>
      <c r="H3570" s="5" t="s">
        <v>20</v>
      </c>
      <c r="I3570" s="5" t="s">
        <v>8517</v>
      </c>
      <c r="J3570" s="12" t="str">
        <f>HYPERLINK("https://www.boe.es/gazeta/dias/1804/03/27/pdfs/GMD-1804-25.pdf#page=6","Abrir facsímil")</f>
        <v>Abrir facsímil</v>
      </c>
      <c r="K3570" s="15" t="s">
        <v>22</v>
      </c>
    </row>
    <row r="3571" spans="1:11" ht="42" customHeight="1">
      <c r="A3571" s="4" t="s">
        <v>8518</v>
      </c>
      <c r="B3571" s="5" t="s">
        <v>8519</v>
      </c>
      <c r="C3571" s="5" t="s">
        <v>17</v>
      </c>
      <c r="D3571" s="5" t="s">
        <v>18</v>
      </c>
      <c r="E3571" s="5" t="s">
        <v>163</v>
      </c>
      <c r="F3571" s="9">
        <v>70</v>
      </c>
      <c r="G3571" s="9">
        <v>783</v>
      </c>
      <c r="H3571" s="5" t="s">
        <v>20</v>
      </c>
      <c r="I3571" s="5" t="s">
        <v>8520</v>
      </c>
      <c r="J3571" s="12" t="str">
        <f>HYPERLINK("https://www.boe.es/gazeta/dias/1804/08/31/pdfs/GMD-1804-70.pdf#page=5","Abrir facsímil")</f>
        <v>Abrir facsímil</v>
      </c>
      <c r="K3571" s="15" t="s">
        <v>22</v>
      </c>
    </row>
    <row r="3572" spans="1:11" ht="42" customHeight="1">
      <c r="A3572" s="4" t="s">
        <v>8521</v>
      </c>
      <c r="B3572" s="5" t="s">
        <v>8522</v>
      </c>
      <c r="C3572" s="5" t="s">
        <v>120</v>
      </c>
      <c r="D3572" s="5" t="s">
        <v>121</v>
      </c>
      <c r="E3572" s="5" t="s">
        <v>33</v>
      </c>
      <c r="F3572" s="9">
        <v>48</v>
      </c>
      <c r="G3572" s="9" t="s">
        <v>98</v>
      </c>
      <c r="H3572" s="5" t="s">
        <v>20</v>
      </c>
      <c r="I3572" s="5" t="s">
        <v>8523</v>
      </c>
      <c r="J3572" s="12" t="str">
        <f>HYPERLINK("https://www.boe.es/gazeta/dias/1804/06/15/pdfs/GMD-C-1804-48.pdf#page=1","Abrir facsímil")</f>
        <v>Abrir facsímil</v>
      </c>
      <c r="K3572" s="15" t="s">
        <v>22</v>
      </c>
    </row>
    <row r="3573" spans="1:11" ht="42" customHeight="1">
      <c r="A3573" s="4" t="s">
        <v>8524</v>
      </c>
      <c r="B3573" s="5" t="s">
        <v>8525</v>
      </c>
      <c r="C3573" s="5" t="s">
        <v>65</v>
      </c>
      <c r="D3573" s="5" t="s">
        <v>66</v>
      </c>
      <c r="E3573" s="5" t="s">
        <v>151</v>
      </c>
      <c r="F3573" s="9">
        <v>13</v>
      </c>
      <c r="G3573" s="9">
        <v>142</v>
      </c>
      <c r="H3573" s="5" t="s">
        <v>20</v>
      </c>
      <c r="I3573" s="5" t="s">
        <v>8526</v>
      </c>
      <c r="J3573" s="12" t="str">
        <f>HYPERLINK("https://www.boe.es/gazeta/dias/1804/02/14/pdfs/GMD-1804-13.pdf#page=6","Abrir facsímil")</f>
        <v>Abrir facsímil</v>
      </c>
      <c r="K3573" s="15" t="s">
        <v>22</v>
      </c>
    </row>
    <row r="3574" spans="1:11" ht="42" customHeight="1">
      <c r="A3574" s="4" t="s">
        <v>8527</v>
      </c>
      <c r="B3574" s="5" t="s">
        <v>8528</v>
      </c>
      <c r="C3574" s="5" t="s">
        <v>27</v>
      </c>
      <c r="D3574" s="5" t="s">
        <v>28</v>
      </c>
      <c r="E3574" s="5" t="s">
        <v>132</v>
      </c>
      <c r="F3574" s="9">
        <v>52</v>
      </c>
      <c r="G3574" s="9">
        <v>573</v>
      </c>
      <c r="H3574" s="5" t="s">
        <v>20</v>
      </c>
      <c r="I3574" s="5" t="s">
        <v>8529</v>
      </c>
      <c r="J3574" s="12" t="str">
        <f>HYPERLINK("https://www.boe.es/gazeta/dias/1804/06/29/pdfs/GMD-1804-52.pdf#page=7","Abrir facsímil")</f>
        <v>Abrir facsímil</v>
      </c>
      <c r="K3574" s="15" t="s">
        <v>22</v>
      </c>
    </row>
    <row r="3575" spans="1:11" ht="42" customHeight="1">
      <c r="A3575" s="4" t="s">
        <v>8530</v>
      </c>
      <c r="B3575" s="5" t="s">
        <v>8530</v>
      </c>
      <c r="C3575" s="5" t="s">
        <v>27</v>
      </c>
      <c r="D3575" s="5" t="s">
        <v>28</v>
      </c>
      <c r="E3575" s="5" t="s">
        <v>1179</v>
      </c>
      <c r="F3575" s="9">
        <v>43</v>
      </c>
      <c r="G3575" s="9">
        <v>479</v>
      </c>
      <c r="H3575" s="5" t="s">
        <v>20</v>
      </c>
      <c r="I3575" s="5" t="s">
        <v>8531</v>
      </c>
      <c r="J3575" s="12" t="str">
        <f>HYPERLINK("https://www.boe.es/gazeta/dias/1804/05/29/pdfs/GMD-1804-43.pdf#page=5","Abrir facsímil")</f>
        <v>Abrir facsímil</v>
      </c>
      <c r="K3575" s="15" t="s">
        <v>22</v>
      </c>
    </row>
    <row r="3576" spans="1:11" ht="42" customHeight="1">
      <c r="A3576" s="4" t="s">
        <v>8532</v>
      </c>
      <c r="B3576" s="5" t="s">
        <v>8532</v>
      </c>
      <c r="C3576" s="5" t="s">
        <v>85</v>
      </c>
      <c r="D3576" s="5" t="s">
        <v>86</v>
      </c>
      <c r="E3576" s="5" t="s">
        <v>206</v>
      </c>
      <c r="F3576" s="9">
        <v>44</v>
      </c>
      <c r="G3576" s="9">
        <v>490</v>
      </c>
      <c r="H3576" s="5" t="s">
        <v>20</v>
      </c>
      <c r="I3576" s="5" t="s">
        <v>8533</v>
      </c>
      <c r="J3576" s="12" t="str">
        <f>HYPERLINK("https://www.boe.es/gazeta/dias/1804/06/01/pdfs/GMD-1804-44.pdf#page=8","Abrir facsímil")</f>
        <v>Abrir facsímil</v>
      </c>
      <c r="K3576" s="15" t="s">
        <v>22</v>
      </c>
    </row>
    <row r="3577" spans="1:11" ht="42" customHeight="1">
      <c r="A3577" s="4" t="s">
        <v>8534</v>
      </c>
      <c r="B3577" s="5" t="s">
        <v>8534</v>
      </c>
      <c r="C3577" s="5" t="s">
        <v>17</v>
      </c>
      <c r="D3577" s="5" t="s">
        <v>18</v>
      </c>
      <c r="E3577" s="5" t="s">
        <v>67</v>
      </c>
      <c r="F3577" s="9">
        <v>59</v>
      </c>
      <c r="G3577" s="9">
        <v>656</v>
      </c>
      <c r="H3577" s="5" t="s">
        <v>20</v>
      </c>
      <c r="I3577" s="5" t="s">
        <v>8535</v>
      </c>
      <c r="J3577" s="12" t="str">
        <f>HYPERLINK("https://www.boe.es/gazeta/dias/1804/07/24/pdfs/GMD-1804-59.pdf#page=10","Abrir facsímil")</f>
        <v>Abrir facsímil</v>
      </c>
      <c r="K3577" s="15" t="s">
        <v>22</v>
      </c>
    </row>
    <row r="3578" spans="1:11" ht="42" customHeight="1">
      <c r="A3578" s="4" t="s">
        <v>8536</v>
      </c>
      <c r="B3578" s="5" t="s">
        <v>8537</v>
      </c>
      <c r="C3578" s="5" t="s">
        <v>17</v>
      </c>
      <c r="D3578" s="5" t="s">
        <v>18</v>
      </c>
      <c r="E3578" s="5" t="s">
        <v>302</v>
      </c>
      <c r="F3578" s="9">
        <v>3</v>
      </c>
      <c r="G3578" s="9">
        <v>26</v>
      </c>
      <c r="H3578" s="5" t="s">
        <v>20</v>
      </c>
      <c r="I3578" s="5" t="s">
        <v>8538</v>
      </c>
      <c r="J3578" s="12" t="str">
        <f>HYPERLINK("https://www.boe.es/gazeta/dias/1804/01/10/pdfs/GMD-1804-3.pdf#page=6","Abrir facsímil")</f>
        <v>Abrir facsímil</v>
      </c>
      <c r="K3578" s="15" t="s">
        <v>22</v>
      </c>
    </row>
    <row r="3579" spans="1:11" ht="42" customHeight="1">
      <c r="A3579" s="4" t="s">
        <v>8536</v>
      </c>
      <c r="B3579" s="5" t="s">
        <v>8537</v>
      </c>
      <c r="C3579" s="5" t="s">
        <v>57</v>
      </c>
      <c r="D3579" s="5" t="s">
        <v>58</v>
      </c>
      <c r="E3579" s="5" t="s">
        <v>1449</v>
      </c>
      <c r="F3579" s="9">
        <v>8</v>
      </c>
      <c r="G3579" s="9">
        <v>83</v>
      </c>
      <c r="H3579" s="5" t="s">
        <v>20</v>
      </c>
      <c r="I3579" s="5" t="s">
        <v>8539</v>
      </c>
      <c r="J3579" s="12" t="str">
        <f>HYPERLINK("https://www.boe.es/gazeta/dias/1804/01/27/pdfs/GMD-1804-8.pdf#page=7","Abrir facsímil")</f>
        <v>Abrir facsímil</v>
      </c>
      <c r="K3579" s="15" t="s">
        <v>22</v>
      </c>
    </row>
    <row r="3580" spans="1:11" ht="42" customHeight="1">
      <c r="A3580" s="4" t="s">
        <v>8540</v>
      </c>
      <c r="B3580" s="5" t="s">
        <v>8540</v>
      </c>
      <c r="C3580" s="5" t="s">
        <v>27</v>
      </c>
      <c r="D3580" s="5" t="s">
        <v>28</v>
      </c>
      <c r="E3580" s="5" t="s">
        <v>37</v>
      </c>
      <c r="F3580" s="9">
        <v>29</v>
      </c>
      <c r="G3580" s="9">
        <v>320</v>
      </c>
      <c r="H3580" s="5" t="s">
        <v>20</v>
      </c>
      <c r="I3580" s="5" t="s">
        <v>8541</v>
      </c>
      <c r="J3580" s="12" t="str">
        <f>HYPERLINK("https://www.boe.es/gazeta/dias/1804/04/10/pdfs/GMD-1804-29.pdf#page=10","Abrir facsímil")</f>
        <v>Abrir facsímil</v>
      </c>
      <c r="K3580" s="15" t="s">
        <v>22</v>
      </c>
    </row>
    <row r="3581" spans="1:11" ht="42" customHeight="1">
      <c r="A3581" s="4" t="s">
        <v>8542</v>
      </c>
      <c r="B3581" s="5" t="s">
        <v>8542</v>
      </c>
      <c r="C3581" s="5" t="s">
        <v>57</v>
      </c>
      <c r="D3581" s="5" t="s">
        <v>58</v>
      </c>
      <c r="E3581" s="5" t="s">
        <v>538</v>
      </c>
      <c r="F3581" s="9">
        <v>27</v>
      </c>
      <c r="G3581" s="9">
        <v>298</v>
      </c>
      <c r="H3581" s="5" t="s">
        <v>20</v>
      </c>
      <c r="I3581" s="5" t="s">
        <v>8543</v>
      </c>
      <c r="J3581" s="12" t="str">
        <f>HYPERLINK("https://www.boe.es/gazeta/dias/1804/04/03/pdfs/GMD-1804-27.pdf#page=4","Abrir facsímil")</f>
        <v>Abrir facsímil</v>
      </c>
      <c r="K3581" s="15" t="s">
        <v>22</v>
      </c>
    </row>
    <row r="3582" spans="1:11" ht="42" customHeight="1">
      <c r="A3582" s="4" t="s">
        <v>8544</v>
      </c>
      <c r="B3582" s="5" t="s">
        <v>8544</v>
      </c>
      <c r="C3582" s="5" t="s">
        <v>198</v>
      </c>
      <c r="D3582" s="5" t="s">
        <v>66</v>
      </c>
      <c r="E3582" s="5" t="s">
        <v>308</v>
      </c>
      <c r="F3582" s="9">
        <v>96</v>
      </c>
      <c r="G3582" s="9">
        <v>1070</v>
      </c>
      <c r="H3582" s="5" t="s">
        <v>20</v>
      </c>
      <c r="I3582" s="5" t="s">
        <v>8545</v>
      </c>
      <c r="J3582" s="12" t="str">
        <f>HYPERLINK("https://www.boe.es/gazeta/dias/1804/11/30/pdfs/GMD-1804-96.pdf#page=10","Abrir facsímil")</f>
        <v>Abrir facsímil</v>
      </c>
      <c r="K3582" s="15" t="s">
        <v>22</v>
      </c>
    </row>
    <row r="3583" spans="1:11" ht="42" customHeight="1">
      <c r="A3583" s="4" t="s">
        <v>8546</v>
      </c>
      <c r="B3583" s="5" t="s">
        <v>8547</v>
      </c>
      <c r="C3583" s="5" t="s">
        <v>17</v>
      </c>
      <c r="D3583" s="5" t="s">
        <v>18</v>
      </c>
      <c r="E3583" s="5" t="s">
        <v>637</v>
      </c>
      <c r="F3583" s="9">
        <v>74</v>
      </c>
      <c r="G3583" s="9">
        <v>833</v>
      </c>
      <c r="H3583" s="5" t="s">
        <v>20</v>
      </c>
      <c r="I3583" s="5" t="s">
        <v>8548</v>
      </c>
      <c r="J3583" s="12" t="str">
        <f>HYPERLINK("https://www.boe.es/gazeta/dias/1804/09/14/pdfs/GMD-1804-74.pdf#page=11","Abrir facsímil")</f>
        <v>Abrir facsímil</v>
      </c>
      <c r="K3583" s="15" t="s">
        <v>22</v>
      </c>
    </row>
    <row r="3584" spans="1:11" ht="42" customHeight="1">
      <c r="A3584" s="4" t="s">
        <v>8549</v>
      </c>
      <c r="B3584" s="5" t="s">
        <v>8550</v>
      </c>
      <c r="C3584" s="5" t="s">
        <v>57</v>
      </c>
      <c r="D3584" s="5" t="s">
        <v>58</v>
      </c>
      <c r="E3584" s="5" t="s">
        <v>538</v>
      </c>
      <c r="F3584" s="9">
        <v>27</v>
      </c>
      <c r="G3584" s="9">
        <v>299</v>
      </c>
      <c r="H3584" s="5" t="s">
        <v>20</v>
      </c>
      <c r="I3584" s="5" t="s">
        <v>8551</v>
      </c>
      <c r="J3584" s="12" t="str">
        <f>HYPERLINK("https://www.boe.es/gazeta/dias/1804/04/03/pdfs/GMD-1804-27.pdf#page=5","Abrir facsímil")</f>
        <v>Abrir facsímil</v>
      </c>
      <c r="K3584" s="15" t="s">
        <v>22</v>
      </c>
    </row>
    <row r="3585" spans="1:11" ht="42" customHeight="1">
      <c r="A3585" s="4" t="s">
        <v>8552</v>
      </c>
      <c r="B3585" s="5" t="s">
        <v>8553</v>
      </c>
      <c r="C3585" s="5" t="s">
        <v>57</v>
      </c>
      <c r="D3585" s="5" t="s">
        <v>58</v>
      </c>
      <c r="E3585" s="5" t="s">
        <v>587</v>
      </c>
      <c r="F3585" s="9">
        <v>62</v>
      </c>
      <c r="G3585" s="9">
        <v>683</v>
      </c>
      <c r="H3585" s="5" t="s">
        <v>20</v>
      </c>
      <c r="I3585" s="5" t="s">
        <v>8554</v>
      </c>
      <c r="J3585" s="12" t="str">
        <f>HYPERLINK("https://www.boe.es/gazeta/dias/1804/08/03/pdfs/GMD-1804-62.pdf#page=5","Abrir facsímil")</f>
        <v>Abrir facsímil</v>
      </c>
      <c r="K3585" s="15" t="s">
        <v>22</v>
      </c>
    </row>
    <row r="3586" spans="1:11" ht="42" customHeight="1">
      <c r="A3586" s="4" t="s">
        <v>8555</v>
      </c>
      <c r="B3586" s="5" t="s">
        <v>8556</v>
      </c>
      <c r="C3586" s="5" t="s">
        <v>85</v>
      </c>
      <c r="D3586" s="5" t="s">
        <v>86</v>
      </c>
      <c r="E3586" s="5" t="s">
        <v>264</v>
      </c>
      <c r="F3586" s="9">
        <v>49</v>
      </c>
      <c r="G3586" s="9" t="s">
        <v>2383</v>
      </c>
      <c r="H3586" s="5" t="s">
        <v>20</v>
      </c>
      <c r="I3586" s="5" t="s">
        <v>8557</v>
      </c>
      <c r="J3586" s="12" t="str">
        <f>HYPERLINK("https://www.boe.es/gazeta/dias/1804/06/19/pdfs/GMD-C-1804-49.pdf#page=6","Abrir facsímil")</f>
        <v>Abrir facsímil</v>
      </c>
      <c r="K3586" s="15" t="s">
        <v>22</v>
      </c>
    </row>
    <row r="3587" spans="1:11" ht="42" customHeight="1">
      <c r="A3587" s="4" t="s">
        <v>8558</v>
      </c>
      <c r="B3587" s="5" t="s">
        <v>8559</v>
      </c>
      <c r="C3587" s="5" t="s">
        <v>27</v>
      </c>
      <c r="D3587" s="5" t="s">
        <v>28</v>
      </c>
      <c r="E3587" s="5" t="s">
        <v>264</v>
      </c>
      <c r="F3587" s="9">
        <v>49</v>
      </c>
      <c r="G3587" s="9">
        <v>545</v>
      </c>
      <c r="H3587" s="5" t="s">
        <v>20</v>
      </c>
      <c r="I3587" s="5" t="s">
        <v>8560</v>
      </c>
      <c r="J3587" s="12" t="str">
        <f>HYPERLINK("https://www.boe.es/gazeta/dias/1804/06/19/pdfs/GMD-1804-49.pdf#page=7","Abrir facsímil")</f>
        <v>Abrir facsímil</v>
      </c>
      <c r="K3587" s="15" t="s">
        <v>22</v>
      </c>
    </row>
    <row r="3588" spans="1:11" ht="42" customHeight="1">
      <c r="A3588" s="4" t="s">
        <v>8561</v>
      </c>
      <c r="B3588" s="5" t="s">
        <v>8561</v>
      </c>
      <c r="C3588" s="5" t="s">
        <v>65</v>
      </c>
      <c r="D3588" s="5" t="s">
        <v>66</v>
      </c>
      <c r="E3588" s="5" t="s">
        <v>576</v>
      </c>
      <c r="F3588" s="9">
        <v>85</v>
      </c>
      <c r="G3588" s="9">
        <v>940</v>
      </c>
      <c r="H3588" s="5" t="s">
        <v>20</v>
      </c>
      <c r="I3588" s="5" t="s">
        <v>8562</v>
      </c>
      <c r="J3588" s="12" t="str">
        <f>HYPERLINK("https://www.boe.es/gazeta/dias/1804/10/23/pdfs/GMD-1804-85.pdf#page=10","Abrir facsímil")</f>
        <v>Abrir facsímil</v>
      </c>
      <c r="K3588" s="15" t="s">
        <v>22</v>
      </c>
    </row>
    <row r="3589" spans="1:11" ht="42" customHeight="1">
      <c r="A3589" s="4" t="s">
        <v>8563</v>
      </c>
      <c r="B3589" s="5" t="s">
        <v>8564</v>
      </c>
      <c r="C3589" s="5" t="s">
        <v>17</v>
      </c>
      <c r="D3589" s="5" t="s">
        <v>18</v>
      </c>
      <c r="E3589" s="5" t="s">
        <v>1179</v>
      </c>
      <c r="F3589" s="9">
        <v>43</v>
      </c>
      <c r="G3589" s="9">
        <v>480</v>
      </c>
      <c r="H3589" s="5" t="s">
        <v>20</v>
      </c>
      <c r="I3589" s="5" t="s">
        <v>8565</v>
      </c>
      <c r="J3589" s="12" t="str">
        <f>HYPERLINK("https://www.boe.es/gazeta/dias/1804/05/29/pdfs/GMD-1804-43.pdf#page=6","Abrir facsímil")</f>
        <v>Abrir facsímil</v>
      </c>
      <c r="K3589" s="15" t="s">
        <v>22</v>
      </c>
    </row>
    <row r="3590" spans="1:11" ht="42" customHeight="1">
      <c r="A3590" s="4" t="s">
        <v>8566</v>
      </c>
      <c r="B3590" s="5" t="s">
        <v>8567</v>
      </c>
      <c r="C3590" s="5" t="s">
        <v>85</v>
      </c>
      <c r="D3590" s="5" t="s">
        <v>86</v>
      </c>
      <c r="E3590" s="5" t="s">
        <v>576</v>
      </c>
      <c r="F3590" s="9">
        <v>85</v>
      </c>
      <c r="G3590" s="9">
        <v>942</v>
      </c>
      <c r="H3590" s="5" t="s">
        <v>20</v>
      </c>
      <c r="I3590" s="5" t="s">
        <v>8568</v>
      </c>
      <c r="J3590" s="12" t="str">
        <f>HYPERLINK("https://www.boe.es/gazeta/dias/1804/10/23/pdfs/GMD-1804-85.pdf#page=12","Abrir facsímil")</f>
        <v>Abrir facsímil</v>
      </c>
      <c r="K3590" s="15" t="s">
        <v>22</v>
      </c>
    </row>
    <row r="3591" spans="1:11" ht="42" customHeight="1">
      <c r="A3591" s="4" t="s">
        <v>8569</v>
      </c>
      <c r="B3591" s="5" t="s">
        <v>8570</v>
      </c>
      <c r="C3591" s="5" t="s">
        <v>27</v>
      </c>
      <c r="D3591" s="5" t="s">
        <v>28</v>
      </c>
      <c r="E3591" s="5" t="s">
        <v>67</v>
      </c>
      <c r="F3591" s="9">
        <v>59</v>
      </c>
      <c r="G3591" s="9">
        <v>653</v>
      </c>
      <c r="H3591" s="5" t="s">
        <v>20</v>
      </c>
      <c r="I3591" s="5" t="s">
        <v>8571</v>
      </c>
      <c r="J3591" s="12" t="str">
        <f>HYPERLINK("https://www.boe.es/gazeta/dias/1804/07/24/pdfs/GMD-1804-59.pdf#page=7","Abrir facsímil")</f>
        <v>Abrir facsímil</v>
      </c>
      <c r="K3591" s="15" t="s">
        <v>22</v>
      </c>
    </row>
    <row r="3592" spans="1:11" ht="42" customHeight="1">
      <c r="A3592" s="4" t="s">
        <v>8572</v>
      </c>
      <c r="B3592" s="5" t="s">
        <v>8573</v>
      </c>
      <c r="C3592" s="5" t="s">
        <v>27</v>
      </c>
      <c r="D3592" s="5" t="s">
        <v>28</v>
      </c>
      <c r="E3592" s="5" t="s">
        <v>736</v>
      </c>
      <c r="F3592" s="9">
        <v>83</v>
      </c>
      <c r="G3592" s="9">
        <v>919</v>
      </c>
      <c r="H3592" s="5" t="s">
        <v>20</v>
      </c>
      <c r="I3592" s="5" t="s">
        <v>8574</v>
      </c>
      <c r="J3592" s="12" t="str">
        <f>HYPERLINK("https://www.boe.es/gazeta/dias/1804/10/16/pdfs/GMD-1804-83.pdf#page=9","Abrir facsímil")</f>
        <v>Abrir facsímil</v>
      </c>
      <c r="K3592" s="15" t="s">
        <v>22</v>
      </c>
    </row>
    <row r="3593" spans="1:11" ht="42" customHeight="1">
      <c r="A3593" s="4" t="s">
        <v>8575</v>
      </c>
      <c r="B3593" s="5" t="s">
        <v>8576</v>
      </c>
      <c r="C3593" s="5" t="s">
        <v>17</v>
      </c>
      <c r="D3593" s="5" t="s">
        <v>18</v>
      </c>
      <c r="E3593" s="5" t="s">
        <v>159</v>
      </c>
      <c r="F3593" s="9">
        <v>15</v>
      </c>
      <c r="G3593" s="9">
        <v>163</v>
      </c>
      <c r="H3593" s="5" t="s">
        <v>20</v>
      </c>
      <c r="I3593" s="5" t="s">
        <v>8577</v>
      </c>
      <c r="J3593" s="12" t="str">
        <f>HYPERLINK("https://www.boe.es/gazeta/dias/1804/02/21/pdfs/GMD-1804-15.pdf#page=7","Abrir facsímil")</f>
        <v>Abrir facsímil</v>
      </c>
      <c r="K3593" s="15" t="s">
        <v>22</v>
      </c>
    </row>
    <row r="3594" spans="1:11" ht="42" customHeight="1">
      <c r="A3594" s="4" t="s">
        <v>8578</v>
      </c>
      <c r="B3594" s="5" t="s">
        <v>8579</v>
      </c>
      <c r="C3594" s="5" t="s">
        <v>65</v>
      </c>
      <c r="D3594" s="5" t="s">
        <v>66</v>
      </c>
      <c r="E3594" s="5" t="s">
        <v>515</v>
      </c>
      <c r="F3594" s="9">
        <v>102</v>
      </c>
      <c r="G3594" s="9">
        <v>1139</v>
      </c>
      <c r="H3594" s="5" t="s">
        <v>20</v>
      </c>
      <c r="I3594" s="5" t="s">
        <v>8580</v>
      </c>
      <c r="J3594" s="12" t="str">
        <f>HYPERLINK("https://www.boe.es/gazeta/dias/1804/12/21/pdfs/GMD-1804-102.pdf#page=7","Abrir facsímil")</f>
        <v>Abrir facsímil</v>
      </c>
      <c r="K3594" s="15" t="s">
        <v>22</v>
      </c>
    </row>
    <row r="3595" spans="1:11" ht="42" customHeight="1">
      <c r="A3595" s="4" t="s">
        <v>8581</v>
      </c>
      <c r="B3595" s="5" t="s">
        <v>8582</v>
      </c>
      <c r="C3595" s="5" t="s">
        <v>27</v>
      </c>
      <c r="D3595" s="5" t="s">
        <v>28</v>
      </c>
      <c r="E3595" s="5" t="s">
        <v>234</v>
      </c>
      <c r="F3595" s="9">
        <v>86</v>
      </c>
      <c r="G3595" s="9">
        <v>948</v>
      </c>
      <c r="H3595" s="5" t="s">
        <v>20</v>
      </c>
      <c r="I3595" s="5" t="s">
        <v>8583</v>
      </c>
      <c r="J3595" s="12" t="str">
        <f>HYPERLINK("https://www.boe.es/gazeta/dias/1804/10/26/pdfs/GMD-1804-86.pdf#page=6","Abrir facsímil")</f>
        <v>Abrir facsímil</v>
      </c>
      <c r="K3595" s="15" t="s">
        <v>22</v>
      </c>
    </row>
    <row r="3596" spans="1:11" ht="42" customHeight="1">
      <c r="A3596" s="4" t="s">
        <v>8584</v>
      </c>
      <c r="B3596" s="5" t="s">
        <v>8585</v>
      </c>
      <c r="C3596" s="5" t="s">
        <v>85</v>
      </c>
      <c r="D3596" s="5" t="s">
        <v>86</v>
      </c>
      <c r="E3596" s="5" t="s">
        <v>950</v>
      </c>
      <c r="F3596" s="9">
        <v>90</v>
      </c>
      <c r="G3596" s="9">
        <v>1000</v>
      </c>
      <c r="H3596" s="5" t="s">
        <v>20</v>
      </c>
      <c r="I3596" s="5" t="s">
        <v>8586</v>
      </c>
      <c r="J3596" s="12" t="str">
        <f>HYPERLINK("https://www.boe.es/gazeta/dias/1804/11/09/pdfs/GMD-1804-90.pdf#page=8","Abrir facsímil")</f>
        <v>Abrir facsímil</v>
      </c>
      <c r="K3596" s="15" t="s">
        <v>22</v>
      </c>
    </row>
    <row r="3597" spans="1:11" ht="42" customHeight="1">
      <c r="A3597" s="4" t="s">
        <v>8587</v>
      </c>
      <c r="B3597" s="5" t="s">
        <v>8587</v>
      </c>
      <c r="C3597" s="5" t="s">
        <v>120</v>
      </c>
      <c r="D3597" s="5" t="s">
        <v>121</v>
      </c>
      <c r="E3597" s="5" t="s">
        <v>33</v>
      </c>
      <c r="F3597" s="9">
        <v>48</v>
      </c>
      <c r="G3597" s="9" t="s">
        <v>819</v>
      </c>
      <c r="H3597" s="5" t="s">
        <v>20</v>
      </c>
      <c r="I3597" s="5" t="s">
        <v>8588</v>
      </c>
      <c r="J3597" s="12" t="str">
        <f>HYPERLINK("https://www.boe.es/gazeta/dias/1804/06/15/pdfs/GMD-C-1804-48.pdf#page=4","Abrir facsímil")</f>
        <v>Abrir facsímil</v>
      </c>
      <c r="K3597" s="15" t="s">
        <v>22</v>
      </c>
    </row>
    <row r="3598" spans="1:11" ht="42" customHeight="1">
      <c r="A3598" s="4" t="s">
        <v>8589</v>
      </c>
      <c r="B3598" s="5" t="s">
        <v>8589</v>
      </c>
      <c r="C3598" s="5" t="s">
        <v>85</v>
      </c>
      <c r="D3598" s="5" t="s">
        <v>86</v>
      </c>
      <c r="E3598" s="5" t="s">
        <v>77</v>
      </c>
      <c r="F3598" s="9">
        <v>32</v>
      </c>
      <c r="G3598" s="9">
        <v>357</v>
      </c>
      <c r="H3598" s="5" t="s">
        <v>20</v>
      </c>
      <c r="I3598" s="5" t="s">
        <v>8590</v>
      </c>
      <c r="J3598" s="12" t="str">
        <f>HYPERLINK("https://www.boe.es/gazeta/dias/1804/04/20/pdfs/GMD-1804-32.pdf#page=11","Abrir facsímil")</f>
        <v>Abrir facsímil</v>
      </c>
      <c r="K3598" s="15" t="s">
        <v>22</v>
      </c>
    </row>
    <row r="3599" spans="1:11" ht="42" customHeight="1">
      <c r="A3599" s="4" t="s">
        <v>8591</v>
      </c>
      <c r="B3599" s="5" t="s">
        <v>8591</v>
      </c>
      <c r="C3599" s="5" t="s">
        <v>27</v>
      </c>
      <c r="D3599" s="5" t="s">
        <v>28</v>
      </c>
      <c r="E3599" s="5" t="s">
        <v>91</v>
      </c>
      <c r="F3599" s="9">
        <v>72</v>
      </c>
      <c r="G3599" s="9">
        <v>806</v>
      </c>
      <c r="H3599" s="5" t="s">
        <v>20</v>
      </c>
      <c r="I3599" s="5" t="s">
        <v>8592</v>
      </c>
      <c r="J3599" s="12" t="str">
        <f>HYPERLINK("https://www.boe.es/gazeta/dias/1804/09/07/pdfs/GMD-1804-72.pdf#page=8","Abrir facsímil")</f>
        <v>Abrir facsímil</v>
      </c>
      <c r="K3599" s="15" t="s">
        <v>22</v>
      </c>
    </row>
    <row r="3600" spans="1:11" ht="42" customHeight="1">
      <c r="A3600" s="4" t="s">
        <v>8593</v>
      </c>
      <c r="B3600" s="5" t="s">
        <v>8593</v>
      </c>
      <c r="C3600" s="5" t="s">
        <v>120</v>
      </c>
      <c r="D3600" s="5" t="s">
        <v>121</v>
      </c>
      <c r="E3600" s="5" t="s">
        <v>33</v>
      </c>
      <c r="F3600" s="9">
        <v>48</v>
      </c>
      <c r="G3600" s="9" t="s">
        <v>98</v>
      </c>
      <c r="H3600" s="5" t="s">
        <v>20</v>
      </c>
      <c r="I3600" s="5" t="s">
        <v>8594</v>
      </c>
      <c r="J3600" s="12" t="str">
        <f>HYPERLINK("https://www.boe.es/gazeta/dias/1804/06/15/pdfs/GMD-C-1804-48.pdf#page=1","Abrir facsímil")</f>
        <v>Abrir facsímil</v>
      </c>
      <c r="K3600" s="15" t="s">
        <v>22</v>
      </c>
    </row>
    <row r="3601" spans="1:11" ht="42" customHeight="1">
      <c r="A3601" s="4" t="s">
        <v>8595</v>
      </c>
      <c r="B3601" s="5" t="s">
        <v>8595</v>
      </c>
      <c r="C3601" s="5" t="s">
        <v>27</v>
      </c>
      <c r="D3601" s="5" t="s">
        <v>28</v>
      </c>
      <c r="E3601" s="5" t="s">
        <v>308</v>
      </c>
      <c r="F3601" s="9">
        <v>96</v>
      </c>
      <c r="G3601" s="9">
        <v>1071</v>
      </c>
      <c r="H3601" s="5" t="s">
        <v>20</v>
      </c>
      <c r="I3601" s="5" t="s">
        <v>8596</v>
      </c>
      <c r="J3601" s="12" t="str">
        <f>HYPERLINK("https://www.boe.es/gazeta/dias/1804/11/30/pdfs/GMD-1804-96.pdf#page=11","Abrir facsímil")</f>
        <v>Abrir facsímil</v>
      </c>
      <c r="K3601" s="15" t="s">
        <v>22</v>
      </c>
    </row>
    <row r="3602" spans="1:11" ht="42" customHeight="1">
      <c r="A3602" s="4" t="s">
        <v>8597</v>
      </c>
      <c r="B3602" s="5" t="s">
        <v>8597</v>
      </c>
      <c r="C3602" s="5" t="s">
        <v>17</v>
      </c>
      <c r="D3602" s="5" t="s">
        <v>18</v>
      </c>
      <c r="E3602" s="5" t="s">
        <v>206</v>
      </c>
      <c r="F3602" s="9">
        <v>44</v>
      </c>
      <c r="G3602" s="9">
        <v>489</v>
      </c>
      <c r="H3602" s="5" t="s">
        <v>20</v>
      </c>
      <c r="I3602" s="5" t="s">
        <v>8598</v>
      </c>
      <c r="J3602" s="12" t="str">
        <f>HYPERLINK("https://www.boe.es/gazeta/dias/1804/06/01/pdfs/GMD-1804-44.pdf#page=7","Abrir facsímil")</f>
        <v>Abrir facsímil</v>
      </c>
      <c r="K3602" s="15" t="s">
        <v>22</v>
      </c>
    </row>
    <row r="3603" spans="1:11" ht="42" customHeight="1">
      <c r="A3603" s="4" t="s">
        <v>8599</v>
      </c>
      <c r="B3603" s="5" t="s">
        <v>8599</v>
      </c>
      <c r="C3603" s="5" t="s">
        <v>17</v>
      </c>
      <c r="D3603" s="5" t="s">
        <v>18</v>
      </c>
      <c r="E3603" s="5" t="s">
        <v>71</v>
      </c>
      <c r="F3603" s="9">
        <v>99</v>
      </c>
      <c r="G3603" s="9">
        <v>1105</v>
      </c>
      <c r="H3603" s="5" t="s">
        <v>20</v>
      </c>
      <c r="I3603" s="5" t="s">
        <v>8600</v>
      </c>
      <c r="J3603" s="12" t="str">
        <f>HYPERLINK("https://www.boe.es/gazeta/dias/1804/12/11/pdfs/GMD-1804-99.pdf#page=5","Abrir facsímil")</f>
        <v>Abrir facsímil</v>
      </c>
      <c r="K3603" s="15" t="s">
        <v>22</v>
      </c>
    </row>
    <row r="3604" spans="1:11" ht="42" customHeight="1">
      <c r="A3604" s="4" t="s">
        <v>8601</v>
      </c>
      <c r="B3604" s="5" t="s">
        <v>8601</v>
      </c>
      <c r="C3604" s="5" t="s">
        <v>17</v>
      </c>
      <c r="D3604" s="5" t="s">
        <v>18</v>
      </c>
      <c r="E3604" s="5" t="s">
        <v>1278</v>
      </c>
      <c r="F3604" s="9">
        <v>37</v>
      </c>
      <c r="G3604" s="9">
        <v>413</v>
      </c>
      <c r="H3604" s="5" t="s">
        <v>20</v>
      </c>
      <c r="I3604" s="5" t="s">
        <v>8602</v>
      </c>
      <c r="J3604" s="12" t="str">
        <f>HYPERLINK("https://www.boe.es/gazeta/dias/1804/05/08/pdfs/GMD-1804-37.pdf#page=11","Abrir facsímil")</f>
        <v>Abrir facsímil</v>
      </c>
      <c r="K3604" s="15" t="s">
        <v>22</v>
      </c>
    </row>
    <row r="3605" spans="1:11" ht="42" customHeight="1">
      <c r="A3605" s="4" t="s">
        <v>8603</v>
      </c>
      <c r="B3605" s="5" t="s">
        <v>8603</v>
      </c>
      <c r="C3605" s="5" t="s">
        <v>17</v>
      </c>
      <c r="D3605" s="5" t="s">
        <v>18</v>
      </c>
      <c r="E3605" s="5" t="s">
        <v>736</v>
      </c>
      <c r="F3605" s="9">
        <v>83</v>
      </c>
      <c r="G3605" s="9">
        <v>921</v>
      </c>
      <c r="H3605" s="5" t="s">
        <v>20</v>
      </c>
      <c r="I3605" s="5" t="s">
        <v>8604</v>
      </c>
      <c r="J3605" s="12" t="str">
        <f>HYPERLINK("https://www.boe.es/gazeta/dias/1804/10/16/pdfs/GMD-1804-83.pdf#page=11","Abrir facsímil")</f>
        <v>Abrir facsímil</v>
      </c>
      <c r="K3605" s="15" t="s">
        <v>22</v>
      </c>
    </row>
    <row r="3606" spans="1:11" ht="42" customHeight="1">
      <c r="A3606" s="4" t="s">
        <v>8605</v>
      </c>
      <c r="B3606" s="5" t="s">
        <v>8606</v>
      </c>
      <c r="C3606" s="5" t="s">
        <v>198</v>
      </c>
      <c r="D3606" s="5" t="s">
        <v>66</v>
      </c>
      <c r="E3606" s="5" t="s">
        <v>191</v>
      </c>
      <c r="F3606" s="9">
        <v>101</v>
      </c>
      <c r="G3606" s="9">
        <v>1130</v>
      </c>
      <c r="H3606" s="5" t="s">
        <v>20</v>
      </c>
      <c r="I3606" s="5" t="s">
        <v>8607</v>
      </c>
      <c r="J3606" s="12" t="str">
        <f>HYPERLINK("https://www.boe.es/gazeta/dias/1804/12/18/pdfs/GMD-1804-101.pdf#page=10","Abrir facsímil")</f>
        <v>Abrir facsímil</v>
      </c>
      <c r="K3606" s="15" t="s">
        <v>22</v>
      </c>
    </row>
    <row r="3607" spans="1:11" ht="42" customHeight="1">
      <c r="A3607" s="4" t="s">
        <v>8608</v>
      </c>
      <c r="B3607" s="5" t="s">
        <v>8609</v>
      </c>
      <c r="C3607" s="5" t="s">
        <v>85</v>
      </c>
      <c r="D3607" s="5" t="s">
        <v>86</v>
      </c>
      <c r="E3607" s="5" t="s">
        <v>245</v>
      </c>
      <c r="F3607" s="9">
        <v>6</v>
      </c>
      <c r="G3607" s="9">
        <v>60</v>
      </c>
      <c r="H3607" s="5" t="s">
        <v>20</v>
      </c>
      <c r="I3607" s="5" t="s">
        <v>8610</v>
      </c>
      <c r="J3607" s="12" t="str">
        <f>HYPERLINK("https://www.boe.es/gazeta/dias/1804/01/20/pdfs/GMD-1804-6.pdf#page=12","Abrir facsímil")</f>
        <v>Abrir facsímil</v>
      </c>
      <c r="K3607" s="15" t="s">
        <v>22</v>
      </c>
    </row>
    <row r="3608" spans="1:11" ht="42" customHeight="1">
      <c r="A3608" s="4" t="s">
        <v>8611</v>
      </c>
      <c r="B3608" s="5" t="s">
        <v>8611</v>
      </c>
      <c r="C3608" s="5" t="s">
        <v>27</v>
      </c>
      <c r="D3608" s="5" t="s">
        <v>28</v>
      </c>
      <c r="E3608" s="5" t="s">
        <v>136</v>
      </c>
      <c r="F3608" s="9">
        <v>23</v>
      </c>
      <c r="G3608" s="9">
        <v>261</v>
      </c>
      <c r="H3608" s="5" t="s">
        <v>20</v>
      </c>
      <c r="I3608" s="5" t="s">
        <v>8612</v>
      </c>
      <c r="J3608" s="12" t="str">
        <f>HYPERLINK("https://www.boe.es/gazeta/dias/1804/03/20/pdfs/GMD-1804-23.pdf#page=7","Abrir facsímil")</f>
        <v>Abrir facsímil</v>
      </c>
      <c r="K3608" s="15" t="s">
        <v>22</v>
      </c>
    </row>
    <row r="3609" spans="1:11" ht="42" customHeight="1">
      <c r="A3609" s="4" t="s">
        <v>8613</v>
      </c>
      <c r="B3609" s="5" t="s">
        <v>8613</v>
      </c>
      <c r="C3609" s="5" t="s">
        <v>65</v>
      </c>
      <c r="D3609" s="5" t="s">
        <v>66</v>
      </c>
      <c r="E3609" s="5" t="s">
        <v>103</v>
      </c>
      <c r="F3609" s="9">
        <v>11</v>
      </c>
      <c r="G3609" s="9">
        <v>123</v>
      </c>
      <c r="H3609" s="5" t="s">
        <v>20</v>
      </c>
      <c r="I3609" s="5" t="s">
        <v>8614</v>
      </c>
      <c r="J3609" s="12" t="str">
        <f>HYPERLINK("https://www.boe.es/gazeta/dias/1804/02/07/pdfs/GMD-1804-11.pdf#page=11","Abrir facsímil")</f>
        <v>Abrir facsímil</v>
      </c>
      <c r="K3609" s="15" t="s">
        <v>22</v>
      </c>
    </row>
    <row r="3610" spans="1:11" ht="42" customHeight="1">
      <c r="A3610" s="4" t="s">
        <v>8615</v>
      </c>
      <c r="B3610" s="5" t="s">
        <v>8616</v>
      </c>
      <c r="C3610" s="5" t="s">
        <v>17</v>
      </c>
      <c r="D3610" s="5" t="s">
        <v>18</v>
      </c>
      <c r="E3610" s="5" t="s">
        <v>172</v>
      </c>
      <c r="F3610" s="9">
        <v>38</v>
      </c>
      <c r="G3610" s="9">
        <v>424</v>
      </c>
      <c r="H3610" s="5" t="s">
        <v>20</v>
      </c>
      <c r="I3610" s="5" t="s">
        <v>8617</v>
      </c>
      <c r="J3610" s="12" t="str">
        <f>HYPERLINK("https://www.boe.es/gazeta/dias/1804/05/11/pdfs/GMD-1804-38.pdf#page=10","Abrir facsímil")</f>
        <v>Abrir facsímil</v>
      </c>
      <c r="K3610" s="15" t="s">
        <v>22</v>
      </c>
    </row>
    <row r="3611" spans="1:11" ht="42" customHeight="1">
      <c r="A3611" s="4" t="s">
        <v>8615</v>
      </c>
      <c r="B3611" s="5" t="s">
        <v>8616</v>
      </c>
      <c r="C3611" s="5" t="s">
        <v>27</v>
      </c>
      <c r="D3611" s="5" t="s">
        <v>28</v>
      </c>
      <c r="E3611" s="5" t="s">
        <v>208</v>
      </c>
      <c r="F3611" s="9">
        <v>97</v>
      </c>
      <c r="G3611" s="9">
        <v>1082</v>
      </c>
      <c r="H3611" s="5" t="s">
        <v>20</v>
      </c>
      <c r="I3611" s="5" t="s">
        <v>8618</v>
      </c>
      <c r="J3611" s="12" t="str">
        <f>HYPERLINK("https://www.boe.es/gazeta/dias/1804/12/04/pdfs/GMD-1804-97.pdf#page=10","Abrir facsímil")</f>
        <v>Abrir facsímil</v>
      </c>
      <c r="K3611" s="15" t="s">
        <v>22</v>
      </c>
    </row>
    <row r="3612" spans="1:11" ht="42" customHeight="1">
      <c r="A3612" s="4" t="s">
        <v>8619</v>
      </c>
      <c r="B3612" s="5" t="s">
        <v>8619</v>
      </c>
      <c r="C3612" s="5" t="s">
        <v>17</v>
      </c>
      <c r="D3612" s="5" t="s">
        <v>18</v>
      </c>
      <c r="E3612" s="5" t="s">
        <v>140</v>
      </c>
      <c r="F3612" s="9">
        <v>39</v>
      </c>
      <c r="G3612" s="9">
        <v>435</v>
      </c>
      <c r="H3612" s="5" t="s">
        <v>20</v>
      </c>
      <c r="I3612" s="5" t="s">
        <v>8620</v>
      </c>
      <c r="J3612" s="12" t="str">
        <f>HYPERLINK("https://www.boe.es/gazeta/dias/1804/05/15/pdfs/GMD-1804-39.pdf#page=9","Abrir facsímil")</f>
        <v>Abrir facsímil</v>
      </c>
      <c r="K3612" s="15" t="s">
        <v>22</v>
      </c>
    </row>
    <row r="3613" spans="1:11" ht="42" customHeight="1">
      <c r="A3613" s="4" t="s">
        <v>8621</v>
      </c>
      <c r="B3613" s="5" t="s">
        <v>8622</v>
      </c>
      <c r="C3613" s="5" t="s">
        <v>27</v>
      </c>
      <c r="D3613" s="5" t="s">
        <v>28</v>
      </c>
      <c r="E3613" s="5" t="s">
        <v>140</v>
      </c>
      <c r="F3613" s="9">
        <v>39</v>
      </c>
      <c r="G3613" s="9">
        <v>431</v>
      </c>
      <c r="H3613" s="5" t="s">
        <v>20</v>
      </c>
      <c r="I3613" s="5" t="s">
        <v>8623</v>
      </c>
      <c r="J3613" s="12" t="str">
        <f>HYPERLINK("https://www.boe.es/gazeta/dias/1804/05/15/pdfs/GMD-1804-39.pdf#page=5","Abrir facsímil")</f>
        <v>Abrir facsímil</v>
      </c>
      <c r="K3613" s="15" t="s">
        <v>22</v>
      </c>
    </row>
    <row r="3614" spans="1:11" ht="42" customHeight="1">
      <c r="A3614" s="4" t="s">
        <v>8624</v>
      </c>
      <c r="B3614" s="5" t="s">
        <v>8625</v>
      </c>
      <c r="C3614" s="5" t="s">
        <v>85</v>
      </c>
      <c r="D3614" s="5" t="s">
        <v>86</v>
      </c>
      <c r="E3614" s="5" t="s">
        <v>91</v>
      </c>
      <c r="F3614" s="9">
        <v>72</v>
      </c>
      <c r="G3614" s="9">
        <v>807</v>
      </c>
      <c r="H3614" s="5" t="s">
        <v>20</v>
      </c>
      <c r="I3614" s="5" t="s">
        <v>8626</v>
      </c>
      <c r="J3614" s="12" t="str">
        <f>HYPERLINK("https://www.boe.es/gazeta/dias/1804/09/07/pdfs/GMD-1804-72.pdf#page=9","Abrir facsímil")</f>
        <v>Abrir facsímil</v>
      </c>
      <c r="K3614" s="15" t="s">
        <v>22</v>
      </c>
    </row>
    <row r="3615" spans="1:11" ht="42" customHeight="1">
      <c r="A3615" s="4" t="s">
        <v>8627</v>
      </c>
      <c r="B3615" s="5" t="s">
        <v>8628</v>
      </c>
      <c r="C3615" s="5" t="s">
        <v>85</v>
      </c>
      <c r="D3615" s="5" t="s">
        <v>86</v>
      </c>
      <c r="E3615" s="5" t="s">
        <v>71</v>
      </c>
      <c r="F3615" s="9">
        <v>99</v>
      </c>
      <c r="G3615" s="9">
        <v>1107</v>
      </c>
      <c r="H3615" s="5" t="s">
        <v>20</v>
      </c>
      <c r="I3615" s="5" t="s">
        <v>8629</v>
      </c>
      <c r="J3615" s="12" t="str">
        <f>HYPERLINK("https://www.boe.es/gazeta/dias/1804/12/11/pdfs/GMD-1804-99.pdf#page=7","Abrir facsímil")</f>
        <v>Abrir facsímil</v>
      </c>
      <c r="K3615" s="15" t="s">
        <v>22</v>
      </c>
    </row>
    <row r="3616" spans="1:11" ht="42" customHeight="1">
      <c r="A3616" s="4" t="s">
        <v>8630</v>
      </c>
      <c r="B3616" s="5" t="s">
        <v>8631</v>
      </c>
      <c r="C3616" s="5" t="s">
        <v>27</v>
      </c>
      <c r="D3616" s="5" t="s">
        <v>28</v>
      </c>
      <c r="E3616" s="5" t="s">
        <v>143</v>
      </c>
      <c r="F3616" s="9">
        <v>87</v>
      </c>
      <c r="G3616" s="9">
        <v>963</v>
      </c>
      <c r="H3616" s="5" t="s">
        <v>20</v>
      </c>
      <c r="I3616" s="5" t="s">
        <v>8632</v>
      </c>
      <c r="J3616" s="12" t="str">
        <f>HYPERLINK("https://www.boe.es/gazeta/dias/1804/10/30/pdfs/GMD-1804-87.pdf#page=7","Abrir facsímil")</f>
        <v>Abrir facsímil</v>
      </c>
      <c r="K3616" s="15" t="s">
        <v>22</v>
      </c>
    </row>
    <row r="3617" spans="1:11" ht="42" customHeight="1">
      <c r="A3617" s="4" t="s">
        <v>8633</v>
      </c>
      <c r="B3617" s="5" t="s">
        <v>8633</v>
      </c>
      <c r="C3617" s="5" t="s">
        <v>17</v>
      </c>
      <c r="D3617" s="5" t="s">
        <v>18</v>
      </c>
      <c r="E3617" s="5" t="s">
        <v>37</v>
      </c>
      <c r="F3617" s="9">
        <v>29</v>
      </c>
      <c r="G3617" s="9">
        <v>318</v>
      </c>
      <c r="H3617" s="5" t="s">
        <v>20</v>
      </c>
      <c r="I3617" s="5" t="s">
        <v>8634</v>
      </c>
      <c r="J3617" s="12" t="str">
        <f>HYPERLINK("https://www.boe.es/gazeta/dias/1804/04/10/pdfs/GMD-1804-29.pdf#page=8","Abrir facsímil")</f>
        <v>Abrir facsímil</v>
      </c>
      <c r="K3617" s="15" t="s">
        <v>22</v>
      </c>
    </row>
    <row r="3618" spans="1:11" ht="42" customHeight="1">
      <c r="A3618" s="4" t="s">
        <v>8635</v>
      </c>
      <c r="B3618" s="5" t="s">
        <v>8636</v>
      </c>
      <c r="C3618" s="5" t="s">
        <v>27</v>
      </c>
      <c r="D3618" s="5" t="s">
        <v>28</v>
      </c>
      <c r="E3618" s="5" t="s">
        <v>143</v>
      </c>
      <c r="F3618" s="9">
        <v>87</v>
      </c>
      <c r="G3618" s="9">
        <v>963</v>
      </c>
      <c r="H3618" s="5" t="s">
        <v>20</v>
      </c>
      <c r="I3618" s="5" t="s">
        <v>8637</v>
      </c>
      <c r="J3618" s="12" t="str">
        <f>HYPERLINK("https://www.boe.es/gazeta/dias/1804/10/30/pdfs/GMD-1804-87.pdf#page=7","Abrir facsímil")</f>
        <v>Abrir facsímil</v>
      </c>
      <c r="K3618" s="15" t="s">
        <v>22</v>
      </c>
    </row>
    <row r="3619" spans="1:11" ht="42" customHeight="1">
      <c r="A3619" s="4" t="s">
        <v>8638</v>
      </c>
      <c r="B3619" s="5" t="s">
        <v>8638</v>
      </c>
      <c r="C3619" s="5" t="s">
        <v>27</v>
      </c>
      <c r="D3619" s="5" t="s">
        <v>28</v>
      </c>
      <c r="E3619" s="5" t="s">
        <v>308</v>
      </c>
      <c r="F3619" s="9">
        <v>96</v>
      </c>
      <c r="G3619" s="9">
        <v>1068</v>
      </c>
      <c r="H3619" s="5" t="s">
        <v>20</v>
      </c>
      <c r="I3619" s="5" t="s">
        <v>8639</v>
      </c>
      <c r="J3619" s="12" t="str">
        <f>HYPERLINK("https://www.boe.es/gazeta/dias/1804/11/30/pdfs/GMD-1804-96.pdf#page=8","Abrir facsímil")</f>
        <v>Abrir facsímil</v>
      </c>
      <c r="K3619" s="15" t="s">
        <v>22</v>
      </c>
    </row>
    <row r="3620" spans="1:11" ht="42" customHeight="1">
      <c r="A3620" s="4" t="s">
        <v>8640</v>
      </c>
      <c r="B3620" s="5" t="s">
        <v>8641</v>
      </c>
      <c r="C3620" s="5" t="s">
        <v>27</v>
      </c>
      <c r="D3620" s="5" t="s">
        <v>28</v>
      </c>
      <c r="E3620" s="5" t="s">
        <v>320</v>
      </c>
      <c r="F3620" s="9">
        <v>31</v>
      </c>
      <c r="G3620" s="9">
        <v>344</v>
      </c>
      <c r="H3620" s="5" t="s">
        <v>20</v>
      </c>
      <c r="I3620" s="5" t="s">
        <v>8642</v>
      </c>
      <c r="J3620" s="12" t="str">
        <f>HYPERLINK("https://www.boe.es/gazeta/dias/1804/04/17/pdfs/GMD-1804-31.pdf#page=10","Abrir facsímil")</f>
        <v>Abrir facsímil</v>
      </c>
      <c r="K3620" s="15" t="s">
        <v>22</v>
      </c>
    </row>
    <row r="3621" spans="1:11" ht="42" customHeight="1">
      <c r="A3621" s="4" t="s">
        <v>8643</v>
      </c>
      <c r="B3621" s="5" t="s">
        <v>8644</v>
      </c>
      <c r="C3621" s="5" t="s">
        <v>27</v>
      </c>
      <c r="D3621" s="5" t="s">
        <v>28</v>
      </c>
      <c r="E3621" s="5" t="s">
        <v>670</v>
      </c>
      <c r="F3621" s="9">
        <v>41</v>
      </c>
      <c r="G3621" s="9">
        <v>458</v>
      </c>
      <c r="H3621" s="5" t="s">
        <v>20</v>
      </c>
      <c r="I3621" s="5" t="s">
        <v>8645</v>
      </c>
      <c r="J3621" s="12" t="str">
        <f>HYPERLINK("https://www.boe.es/gazeta/dias/1804/05/22/pdfs/GMD-1804-41.pdf#page=8","Abrir facsímil")</f>
        <v>Abrir facsímil</v>
      </c>
      <c r="K3621" s="15" t="s">
        <v>22</v>
      </c>
    </row>
    <row r="3622" spans="1:11" ht="42" customHeight="1">
      <c r="A3622" s="4" t="s">
        <v>8646</v>
      </c>
      <c r="B3622" s="5" t="s">
        <v>8646</v>
      </c>
      <c r="C3622" s="5" t="s">
        <v>65</v>
      </c>
      <c r="D3622" s="5" t="s">
        <v>66</v>
      </c>
      <c r="E3622" s="5" t="s">
        <v>678</v>
      </c>
      <c r="F3622" s="9">
        <v>104</v>
      </c>
      <c r="G3622" s="9">
        <v>1162</v>
      </c>
      <c r="H3622" s="5" t="s">
        <v>20</v>
      </c>
      <c r="I3622" s="5" t="s">
        <v>8647</v>
      </c>
      <c r="J3622" s="12" t="str">
        <f>HYPERLINK("https://www.boe.es/gazeta/dias/1804/12/28/pdfs/GMD-1804-104.pdf#page=10","Abrir facsímil")</f>
        <v>Abrir facsímil</v>
      </c>
      <c r="K3622" s="15" t="s">
        <v>22</v>
      </c>
    </row>
    <row r="3623" spans="1:11" ht="42" customHeight="1">
      <c r="A3623" s="4" t="s">
        <v>8648</v>
      </c>
      <c r="B3623" s="5" t="s">
        <v>8648</v>
      </c>
      <c r="C3623" s="5" t="s">
        <v>27</v>
      </c>
      <c r="D3623" s="5" t="s">
        <v>28</v>
      </c>
      <c r="E3623" s="5" t="s">
        <v>272</v>
      </c>
      <c r="F3623" s="9">
        <v>30</v>
      </c>
      <c r="G3623" s="9">
        <v>331</v>
      </c>
      <c r="H3623" s="5" t="s">
        <v>20</v>
      </c>
      <c r="I3623" s="5" t="s">
        <v>8649</v>
      </c>
      <c r="J3623" s="12" t="str">
        <f>HYPERLINK("https://www.boe.es/gazeta/dias/1804/04/13/pdfs/GMD-1804-30.pdf#page=9","Abrir facsímil")</f>
        <v>Abrir facsímil</v>
      </c>
      <c r="K3623" s="15" t="s">
        <v>22</v>
      </c>
    </row>
    <row r="3624" spans="1:11" ht="42" customHeight="1">
      <c r="A3624" s="4" t="s">
        <v>8650</v>
      </c>
      <c r="B3624" s="5" t="s">
        <v>8650</v>
      </c>
      <c r="C3624" s="5" t="s">
        <v>65</v>
      </c>
      <c r="D3624" s="5" t="s">
        <v>66</v>
      </c>
      <c r="E3624" s="5" t="s">
        <v>479</v>
      </c>
      <c r="F3624" s="9">
        <v>5</v>
      </c>
      <c r="G3624" s="9">
        <v>46</v>
      </c>
      <c r="H3624" s="5" t="s">
        <v>20</v>
      </c>
      <c r="I3624" s="5" t="s">
        <v>8651</v>
      </c>
      <c r="J3624" s="12" t="str">
        <f>HYPERLINK("https://www.boe.es/gazeta/dias/1804/01/17/pdfs/GMD-1804-5.pdf#page=6","Abrir facsímil")</f>
        <v>Abrir facsímil</v>
      </c>
      <c r="K3624" s="15" t="s">
        <v>22</v>
      </c>
    </row>
    <row r="3625" spans="1:11" ht="42" customHeight="1">
      <c r="A3625" s="4" t="s">
        <v>8652</v>
      </c>
      <c r="B3625" s="5" t="s">
        <v>8653</v>
      </c>
      <c r="C3625" s="5" t="s">
        <v>27</v>
      </c>
      <c r="D3625" s="5" t="s">
        <v>28</v>
      </c>
      <c r="E3625" s="5" t="s">
        <v>71</v>
      </c>
      <c r="F3625" s="9">
        <v>99</v>
      </c>
      <c r="G3625" s="9">
        <v>1106</v>
      </c>
      <c r="H3625" s="5" t="s">
        <v>20</v>
      </c>
      <c r="I3625" s="5" t="s">
        <v>8654</v>
      </c>
      <c r="J3625" s="12" t="str">
        <f>HYPERLINK("https://www.boe.es/gazeta/dias/1804/12/11/pdfs/GMD-1804-99.pdf#page=6","Abrir facsímil")</f>
        <v>Abrir facsímil</v>
      </c>
      <c r="K3625" s="15" t="s">
        <v>22</v>
      </c>
    </row>
    <row r="3626" spans="1:11" ht="42" customHeight="1">
      <c r="A3626" s="4" t="s">
        <v>8655</v>
      </c>
      <c r="B3626" s="5" t="s">
        <v>8655</v>
      </c>
      <c r="C3626" s="5" t="s">
        <v>17</v>
      </c>
      <c r="D3626" s="5" t="s">
        <v>18</v>
      </c>
      <c r="E3626" s="5" t="s">
        <v>623</v>
      </c>
      <c r="F3626" s="9">
        <v>51</v>
      </c>
      <c r="G3626" s="9">
        <v>565</v>
      </c>
      <c r="H3626" s="5" t="s">
        <v>20</v>
      </c>
      <c r="I3626" s="5" t="s">
        <v>8656</v>
      </c>
      <c r="J3626" s="12" t="str">
        <f>HYPERLINK("https://www.boe.es/gazeta/dias/1804/06/26/pdfs/GMD-1804-51.pdf#page=11","Abrir facsímil")</f>
        <v>Abrir facsímil</v>
      </c>
      <c r="K3626" s="15" t="s">
        <v>22</v>
      </c>
    </row>
    <row r="3627" spans="1:11" ht="42" customHeight="1">
      <c r="A3627" s="4" t="s">
        <v>8657</v>
      </c>
      <c r="B3627" s="5" t="s">
        <v>8658</v>
      </c>
      <c r="C3627" s="5" t="s">
        <v>65</v>
      </c>
      <c r="D3627" s="5" t="s">
        <v>66</v>
      </c>
      <c r="E3627" s="5" t="s">
        <v>623</v>
      </c>
      <c r="F3627" s="9">
        <v>51</v>
      </c>
      <c r="G3627" s="9">
        <v>561</v>
      </c>
      <c r="H3627" s="5" t="s">
        <v>20</v>
      </c>
      <c r="I3627" s="5" t="s">
        <v>8659</v>
      </c>
      <c r="J3627" s="12" t="str">
        <f>HYPERLINK("https://www.boe.es/gazeta/dias/1804/06/26/pdfs/GMD-1804-51.pdf#page=7","Abrir facsímil")</f>
        <v>Abrir facsímil</v>
      </c>
      <c r="K3627" s="15" t="s">
        <v>22</v>
      </c>
    </row>
    <row r="3628" spans="1:11" ht="42" customHeight="1">
      <c r="A3628" s="4" t="s">
        <v>8660</v>
      </c>
      <c r="B3628" s="5" t="s">
        <v>8660</v>
      </c>
      <c r="C3628" s="5" t="s">
        <v>17</v>
      </c>
      <c r="D3628" s="5" t="s">
        <v>18</v>
      </c>
      <c r="E3628" s="5" t="s">
        <v>41</v>
      </c>
      <c r="F3628" s="9">
        <v>24</v>
      </c>
      <c r="G3628" s="9">
        <v>277</v>
      </c>
      <c r="H3628" s="5" t="s">
        <v>20</v>
      </c>
      <c r="I3628" s="5" t="s">
        <v>8661</v>
      </c>
      <c r="J3628" s="12" t="str">
        <f>HYPERLINK("https://www.boe.es/gazeta/dias/1804/03/23/pdfs/GMD-1804-24.pdf#page=11","Abrir facsímil")</f>
        <v>Abrir facsímil</v>
      </c>
      <c r="K3628" s="15" t="s">
        <v>22</v>
      </c>
    </row>
    <row r="3629" spans="1:11" ht="42" customHeight="1">
      <c r="A3629" s="4" t="s">
        <v>8662</v>
      </c>
      <c r="B3629" s="5" t="s">
        <v>8663</v>
      </c>
      <c r="C3629" s="5" t="s">
        <v>65</v>
      </c>
      <c r="D3629" s="5" t="s">
        <v>66</v>
      </c>
      <c r="E3629" s="5" t="s">
        <v>326</v>
      </c>
      <c r="F3629" s="9">
        <v>69</v>
      </c>
      <c r="G3629" s="9">
        <v>775</v>
      </c>
      <c r="H3629" s="5" t="s">
        <v>20</v>
      </c>
      <c r="I3629" s="5" t="s">
        <v>8664</v>
      </c>
      <c r="J3629" s="12" t="str">
        <f>HYPERLINK("https://www.boe.es/gazeta/dias/1804/08/28/pdfs/GMD-1804-69.pdf#page=9","Abrir facsímil")</f>
        <v>Abrir facsímil</v>
      </c>
      <c r="K3629" s="15" t="s">
        <v>22</v>
      </c>
    </row>
    <row r="3630" spans="1:11" ht="42" customHeight="1">
      <c r="A3630" s="4" t="s">
        <v>8665</v>
      </c>
      <c r="B3630" s="5" t="s">
        <v>8665</v>
      </c>
      <c r="C3630" s="5" t="s">
        <v>57</v>
      </c>
      <c r="D3630" s="5" t="s">
        <v>58</v>
      </c>
      <c r="E3630" s="5" t="s">
        <v>77</v>
      </c>
      <c r="F3630" s="9">
        <v>32</v>
      </c>
      <c r="G3630" s="9">
        <v>353</v>
      </c>
      <c r="H3630" s="5" t="s">
        <v>20</v>
      </c>
      <c r="I3630" s="5" t="s">
        <v>8666</v>
      </c>
      <c r="J3630" s="12" t="str">
        <f>HYPERLINK("https://www.boe.es/gazeta/dias/1804/04/20/pdfs/GMD-1804-32.pdf#page=7","Abrir facsímil")</f>
        <v>Abrir facsímil</v>
      </c>
      <c r="K3630" s="15" t="s">
        <v>22</v>
      </c>
    </row>
    <row r="3631" spans="1:11" ht="42" customHeight="1">
      <c r="A3631" s="4" t="s">
        <v>8665</v>
      </c>
      <c r="B3631" s="5" t="s">
        <v>8665</v>
      </c>
      <c r="C3631" s="5" t="s">
        <v>17</v>
      </c>
      <c r="D3631" s="5" t="s">
        <v>18</v>
      </c>
      <c r="E3631" s="5" t="s">
        <v>77</v>
      </c>
      <c r="F3631" s="9">
        <v>32</v>
      </c>
      <c r="G3631" s="9">
        <v>355</v>
      </c>
      <c r="H3631" s="5" t="s">
        <v>20</v>
      </c>
      <c r="I3631" s="5" t="s">
        <v>8667</v>
      </c>
      <c r="J3631" s="12" t="str">
        <f>HYPERLINK("https://www.boe.es/gazeta/dias/1804/04/20/pdfs/GMD-1804-32.pdf#page=9","Abrir facsímil")</f>
        <v>Abrir facsímil</v>
      </c>
      <c r="K3631" s="15" t="s">
        <v>22</v>
      </c>
    </row>
    <row r="3632" spans="1:11" ht="42" customHeight="1">
      <c r="A3632" s="4" t="s">
        <v>8668</v>
      </c>
      <c r="B3632" s="5" t="s">
        <v>8668</v>
      </c>
      <c r="C3632" s="5" t="s">
        <v>262</v>
      </c>
      <c r="D3632" s="5" t="s">
        <v>263</v>
      </c>
      <c r="E3632" s="5" t="s">
        <v>97</v>
      </c>
      <c r="F3632" s="9">
        <v>50</v>
      </c>
      <c r="G3632" s="9" t="s">
        <v>98</v>
      </c>
      <c r="H3632" s="5" t="s">
        <v>20</v>
      </c>
      <c r="I3632" s="5" t="s">
        <v>8669</v>
      </c>
      <c r="J3632" s="12" t="str">
        <f>HYPERLINK("https://www.boe.es/gazeta/dias/1804/06/22/pdfs/GMD-C-1804-50.pdf#page=1","Abrir facsímil")</f>
        <v>Abrir facsímil</v>
      </c>
      <c r="K3632" s="15" t="s">
        <v>22</v>
      </c>
    </row>
    <row r="3633" spans="1:11" ht="42" customHeight="1">
      <c r="A3633" s="4" t="s">
        <v>8670</v>
      </c>
      <c r="B3633" s="5" t="s">
        <v>8670</v>
      </c>
      <c r="C3633" s="5" t="s">
        <v>17</v>
      </c>
      <c r="D3633" s="5" t="s">
        <v>18</v>
      </c>
      <c r="E3633" s="5" t="s">
        <v>547</v>
      </c>
      <c r="F3633" s="9">
        <v>68</v>
      </c>
      <c r="G3633" s="9">
        <v>763</v>
      </c>
      <c r="H3633" s="5" t="s">
        <v>20</v>
      </c>
      <c r="I3633" s="5" t="s">
        <v>8671</v>
      </c>
      <c r="J3633" s="12" t="str">
        <f>HYPERLINK("https://www.boe.es/gazeta/dias/1804/08/24/pdfs/GMD-1804-68.pdf#page=9","Abrir facsímil")</f>
        <v>Abrir facsímil</v>
      </c>
      <c r="K3633" s="15" t="s">
        <v>22</v>
      </c>
    </row>
    <row r="3634" spans="1:11" ht="42" customHeight="1">
      <c r="A3634" s="4" t="s">
        <v>8672</v>
      </c>
      <c r="B3634" s="5" t="s">
        <v>8673</v>
      </c>
      <c r="C3634" s="5" t="s">
        <v>17</v>
      </c>
      <c r="D3634" s="5" t="s">
        <v>18</v>
      </c>
      <c r="E3634" s="5" t="s">
        <v>800</v>
      </c>
      <c r="F3634" s="9">
        <v>45</v>
      </c>
      <c r="G3634" s="9">
        <v>502</v>
      </c>
      <c r="H3634" s="5" t="s">
        <v>20</v>
      </c>
      <c r="I3634" s="5" t="s">
        <v>8674</v>
      </c>
      <c r="J3634" s="12" t="str">
        <f>HYPERLINK("https://www.boe.es/gazeta/dias/1804/06/05/pdfs/GMD-1804-45.pdf#page=12","Abrir facsímil")</f>
        <v>Abrir facsímil</v>
      </c>
      <c r="K3634" s="15" t="s">
        <v>22</v>
      </c>
    </row>
    <row r="3635" spans="1:11" ht="42" customHeight="1">
      <c r="A3635" s="4" t="s">
        <v>8675</v>
      </c>
      <c r="B3635" s="5" t="s">
        <v>8676</v>
      </c>
      <c r="C3635" s="5" t="s">
        <v>65</v>
      </c>
      <c r="D3635" s="5" t="s">
        <v>66</v>
      </c>
      <c r="E3635" s="5" t="s">
        <v>576</v>
      </c>
      <c r="F3635" s="9">
        <v>85</v>
      </c>
      <c r="G3635" s="9">
        <v>934</v>
      </c>
      <c r="H3635" s="5" t="s">
        <v>20</v>
      </c>
      <c r="I3635" s="5" t="s">
        <v>8677</v>
      </c>
      <c r="J3635" s="12" t="str">
        <f>HYPERLINK("https://www.boe.es/gazeta/dias/1804/10/23/pdfs/GMD-1804-85.pdf#page=4","Abrir facsímil")</f>
        <v>Abrir facsímil</v>
      </c>
      <c r="K3635" s="15" t="s">
        <v>22</v>
      </c>
    </row>
    <row r="3636" spans="1:11" ht="42" customHeight="1">
      <c r="A3636" s="4" t="s">
        <v>8678</v>
      </c>
      <c r="B3636" s="5" t="s">
        <v>8679</v>
      </c>
      <c r="C3636" s="5" t="s">
        <v>65</v>
      </c>
      <c r="D3636" s="5" t="s">
        <v>66</v>
      </c>
      <c r="E3636" s="5" t="s">
        <v>526</v>
      </c>
      <c r="F3636" s="9">
        <v>95</v>
      </c>
      <c r="G3636" s="9">
        <v>1051</v>
      </c>
      <c r="H3636" s="5" t="s">
        <v>20</v>
      </c>
      <c r="I3636" s="5" t="s">
        <v>8680</v>
      </c>
      <c r="J3636" s="12" t="str">
        <f>HYPERLINK("https://www.boe.es/gazeta/dias/1804/11/27/pdfs/GMD-1804-95.pdf#page=3","Abrir facsímil")</f>
        <v>Abrir facsímil</v>
      </c>
      <c r="K3636" s="15" t="s">
        <v>22</v>
      </c>
    </row>
    <row r="3637" spans="1:11" ht="42" customHeight="1">
      <c r="A3637" s="4" t="s">
        <v>8681</v>
      </c>
      <c r="B3637" s="5" t="s">
        <v>8681</v>
      </c>
      <c r="C3637" s="5" t="s">
        <v>17</v>
      </c>
      <c r="D3637" s="5" t="s">
        <v>18</v>
      </c>
      <c r="E3637" s="5" t="s">
        <v>526</v>
      </c>
      <c r="F3637" s="9">
        <v>95</v>
      </c>
      <c r="G3637" s="9">
        <v>1058</v>
      </c>
      <c r="H3637" s="5" t="s">
        <v>20</v>
      </c>
      <c r="I3637" s="5" t="s">
        <v>8682</v>
      </c>
      <c r="J3637" s="12" t="str">
        <f>HYPERLINK("https://www.boe.es/gazeta/dias/1804/11/27/pdfs/GMD-1804-95.pdf#page=10","Abrir facsímil")</f>
        <v>Abrir facsímil</v>
      </c>
      <c r="K3637" s="15" t="s">
        <v>22</v>
      </c>
    </row>
    <row r="3638" spans="1:11" ht="42" customHeight="1">
      <c r="A3638" s="4" t="s">
        <v>8681</v>
      </c>
      <c r="B3638" s="5" t="s">
        <v>8681</v>
      </c>
      <c r="C3638" s="5" t="s">
        <v>198</v>
      </c>
      <c r="D3638" s="5" t="s">
        <v>66</v>
      </c>
      <c r="E3638" s="5" t="s">
        <v>1020</v>
      </c>
      <c r="F3638" s="9">
        <v>103</v>
      </c>
      <c r="G3638" s="9">
        <v>1148</v>
      </c>
      <c r="H3638" s="5" t="s">
        <v>20</v>
      </c>
      <c r="I3638" s="5" t="s">
        <v>8683</v>
      </c>
      <c r="J3638" s="12" t="str">
        <f>HYPERLINK("https://www.boe.es/gazeta/dias/1804/12/25/pdfs/GMD-1804-103.pdf#page=8","Abrir facsímil")</f>
        <v>Abrir facsímil</v>
      </c>
      <c r="K3638" s="15" t="s">
        <v>22</v>
      </c>
    </row>
    <row r="3639" spans="1:11" ht="42" customHeight="1">
      <c r="A3639" s="4" t="s">
        <v>8684</v>
      </c>
      <c r="B3639" s="5" t="s">
        <v>8684</v>
      </c>
      <c r="C3639" s="5" t="s">
        <v>65</v>
      </c>
      <c r="D3639" s="5" t="s">
        <v>66</v>
      </c>
      <c r="E3639" s="5" t="s">
        <v>623</v>
      </c>
      <c r="F3639" s="9">
        <v>51</v>
      </c>
      <c r="G3639" s="9">
        <v>565</v>
      </c>
      <c r="H3639" s="5" t="s">
        <v>20</v>
      </c>
      <c r="I3639" s="5" t="s">
        <v>8685</v>
      </c>
      <c r="J3639" s="12" t="str">
        <f>HYPERLINK("https://www.boe.es/gazeta/dias/1804/06/26/pdfs/GMD-1804-51.pdf#page=11","Abrir facsímil")</f>
        <v>Abrir facsímil</v>
      </c>
      <c r="K3639" s="15" t="s">
        <v>22</v>
      </c>
    </row>
    <row r="3640" spans="1:11" ht="42" customHeight="1">
      <c r="A3640" s="4" t="s">
        <v>8686</v>
      </c>
      <c r="B3640" s="5" t="s">
        <v>8686</v>
      </c>
      <c r="C3640" s="5" t="s">
        <v>65</v>
      </c>
      <c r="D3640" s="5" t="s">
        <v>66</v>
      </c>
      <c r="E3640" s="5" t="s">
        <v>623</v>
      </c>
      <c r="F3640" s="9">
        <v>51</v>
      </c>
      <c r="G3640" s="9">
        <v>565</v>
      </c>
      <c r="H3640" s="5" t="s">
        <v>20</v>
      </c>
      <c r="I3640" s="5" t="s">
        <v>8687</v>
      </c>
      <c r="J3640" s="12" t="str">
        <f>HYPERLINK("https://www.boe.es/gazeta/dias/1804/06/26/pdfs/GMD-1804-51.pdf#page=11","Abrir facsímil")</f>
        <v>Abrir facsímil</v>
      </c>
      <c r="K3640" s="15" t="s">
        <v>22</v>
      </c>
    </row>
    <row r="3641" spans="1:11" ht="42" customHeight="1">
      <c r="A3641" s="4" t="s">
        <v>8688</v>
      </c>
      <c r="B3641" s="5" t="s">
        <v>8688</v>
      </c>
      <c r="C3641" s="5" t="s">
        <v>65</v>
      </c>
      <c r="D3641" s="5" t="s">
        <v>66</v>
      </c>
      <c r="E3641" s="5" t="s">
        <v>782</v>
      </c>
      <c r="F3641" s="9">
        <v>75</v>
      </c>
      <c r="G3641" s="9">
        <v>840</v>
      </c>
      <c r="H3641" s="5" t="s">
        <v>20</v>
      </c>
      <c r="I3641" s="5" t="s">
        <v>8689</v>
      </c>
      <c r="J3641" s="12" t="str">
        <f>HYPERLINK("https://www.boe.es/gazeta/dias/1804/09/18/pdfs/GMD-1804-75.pdf#page=6","Abrir facsímil")</f>
        <v>Abrir facsímil</v>
      </c>
      <c r="K3641" s="15" t="s">
        <v>22</v>
      </c>
    </row>
    <row r="3642" spans="1:11" ht="42" customHeight="1">
      <c r="A3642" s="4" t="s">
        <v>8690</v>
      </c>
      <c r="B3642" s="5" t="s">
        <v>8690</v>
      </c>
      <c r="C3642" s="5" t="s">
        <v>27</v>
      </c>
      <c r="D3642" s="5" t="s">
        <v>28</v>
      </c>
      <c r="E3642" s="5" t="s">
        <v>178</v>
      </c>
      <c r="F3642" s="9">
        <v>20</v>
      </c>
      <c r="G3642" s="9">
        <v>220</v>
      </c>
      <c r="H3642" s="5" t="s">
        <v>20</v>
      </c>
      <c r="I3642" s="5" t="s">
        <v>8691</v>
      </c>
      <c r="J3642" s="12" t="str">
        <f>HYPERLINK("https://www.boe.es/gazeta/dias/1804/03/09/pdfs/GMD-1804-20.pdf#page=8","Abrir facsímil")</f>
        <v>Abrir facsímil</v>
      </c>
      <c r="K3642" s="15" t="s">
        <v>22</v>
      </c>
    </row>
    <row r="3643" spans="1:11" ht="42" customHeight="1">
      <c r="A3643" s="4" t="s">
        <v>8692</v>
      </c>
      <c r="B3643" s="5" t="s">
        <v>8692</v>
      </c>
      <c r="C3643" s="5" t="s">
        <v>27</v>
      </c>
      <c r="D3643" s="5" t="s">
        <v>28</v>
      </c>
      <c r="E3643" s="5" t="s">
        <v>350</v>
      </c>
      <c r="F3643" s="9">
        <v>19</v>
      </c>
      <c r="G3643" s="9">
        <v>209</v>
      </c>
      <c r="H3643" s="5" t="s">
        <v>20</v>
      </c>
      <c r="I3643" s="5" t="s">
        <v>8693</v>
      </c>
      <c r="J3643" s="12" t="str">
        <f>HYPERLINK("https://www.boe.es/gazeta/dias/1804/03/06/pdfs/GMD-1804-19.pdf#page=9","Abrir facsímil")</f>
        <v>Abrir facsímil</v>
      </c>
      <c r="K3643" s="15" t="s">
        <v>22</v>
      </c>
    </row>
    <row r="3644" spans="1:11" ht="42" customHeight="1">
      <c r="A3644" s="4" t="s">
        <v>8692</v>
      </c>
      <c r="B3644" s="5" t="s">
        <v>8692</v>
      </c>
      <c r="C3644" s="5" t="s">
        <v>198</v>
      </c>
      <c r="D3644" s="5" t="s">
        <v>66</v>
      </c>
      <c r="E3644" s="5" t="s">
        <v>136</v>
      </c>
      <c r="F3644" s="9">
        <v>23</v>
      </c>
      <c r="G3644" s="9">
        <v>264</v>
      </c>
      <c r="H3644" s="5" t="s">
        <v>20</v>
      </c>
      <c r="I3644" s="5" t="s">
        <v>8694</v>
      </c>
      <c r="J3644" s="12" t="str">
        <f>HYPERLINK("https://www.boe.es/gazeta/dias/1804/03/20/pdfs/GMD-1804-23.pdf#page=10","Abrir facsímil")</f>
        <v>Abrir facsímil</v>
      </c>
      <c r="K3644" s="15" t="s">
        <v>22</v>
      </c>
    </row>
    <row r="3645" spans="1:11" ht="42" customHeight="1">
      <c r="A3645" s="4" t="s">
        <v>8692</v>
      </c>
      <c r="B3645" s="5" t="s">
        <v>8692</v>
      </c>
      <c r="C3645" s="5" t="s">
        <v>198</v>
      </c>
      <c r="D3645" s="5" t="s">
        <v>66</v>
      </c>
      <c r="E3645" s="5" t="s">
        <v>111</v>
      </c>
      <c r="F3645" s="9">
        <v>40</v>
      </c>
      <c r="G3645" s="9">
        <v>450</v>
      </c>
      <c r="H3645" s="5" t="s">
        <v>20</v>
      </c>
      <c r="I3645" s="5" t="s">
        <v>8695</v>
      </c>
      <c r="J3645" s="12" t="str">
        <f>HYPERLINK("https://www.boe.es/gazeta/dias/1804/05/18/pdfs/GMD-1804-40.pdf#page=12","Abrir facsímil")</f>
        <v>Abrir facsímil</v>
      </c>
      <c r="K3645" s="15" t="s">
        <v>22</v>
      </c>
    </row>
    <row r="3646" spans="1:11" ht="42" customHeight="1">
      <c r="A3646" s="4" t="s">
        <v>8692</v>
      </c>
      <c r="B3646" s="5" t="s">
        <v>8692</v>
      </c>
      <c r="C3646" s="5" t="s">
        <v>198</v>
      </c>
      <c r="D3646" s="5" t="s">
        <v>66</v>
      </c>
      <c r="E3646" s="5" t="s">
        <v>670</v>
      </c>
      <c r="F3646" s="9">
        <v>41</v>
      </c>
      <c r="G3646" s="9">
        <v>461</v>
      </c>
      <c r="H3646" s="5" t="s">
        <v>20</v>
      </c>
      <c r="I3646" s="5" t="s">
        <v>8696</v>
      </c>
      <c r="J3646" s="12" t="str">
        <f>HYPERLINK("https://www.boe.es/gazeta/dias/1804/05/22/pdfs/GMD-1804-41.pdf#page=11","Abrir facsímil")</f>
        <v>Abrir facsímil</v>
      </c>
      <c r="K3646" s="15" t="s">
        <v>22</v>
      </c>
    </row>
    <row r="3647" spans="1:11" ht="42" customHeight="1">
      <c r="A3647" s="4" t="s">
        <v>8692</v>
      </c>
      <c r="B3647" s="5" t="s">
        <v>8692</v>
      </c>
      <c r="C3647" s="5" t="s">
        <v>17</v>
      </c>
      <c r="D3647" s="5" t="s">
        <v>18</v>
      </c>
      <c r="E3647" s="5" t="s">
        <v>587</v>
      </c>
      <c r="F3647" s="9">
        <v>62</v>
      </c>
      <c r="G3647" s="9">
        <v>688</v>
      </c>
      <c r="H3647" s="5" t="s">
        <v>20</v>
      </c>
      <c r="I3647" s="5" t="s">
        <v>8697</v>
      </c>
      <c r="J3647" s="12" t="str">
        <f>HYPERLINK("https://www.boe.es/gazeta/dias/1804/08/03/pdfs/GMD-1804-62.pdf#page=10","Abrir facsímil")</f>
        <v>Abrir facsímil</v>
      </c>
      <c r="K3647" s="15" t="s">
        <v>22</v>
      </c>
    </row>
    <row r="3648" spans="1:11" ht="42" customHeight="1">
      <c r="A3648" s="4" t="s">
        <v>8692</v>
      </c>
      <c r="B3648" s="5" t="s">
        <v>8692</v>
      </c>
      <c r="C3648" s="5" t="s">
        <v>198</v>
      </c>
      <c r="D3648" s="5" t="s">
        <v>66</v>
      </c>
      <c r="E3648" s="5" t="s">
        <v>216</v>
      </c>
      <c r="F3648" s="9">
        <v>67</v>
      </c>
      <c r="G3648" s="9">
        <v>753</v>
      </c>
      <c r="H3648" s="5" t="s">
        <v>20</v>
      </c>
      <c r="I3648" s="5" t="s">
        <v>8698</v>
      </c>
      <c r="J3648" s="12" t="str">
        <f>HYPERLINK("https://www.boe.es/gazeta/dias/1804/08/21/pdfs/GMD-1804-67.pdf#page=11","Abrir facsímil")</f>
        <v>Abrir facsímil</v>
      </c>
      <c r="K3648" s="15" t="s">
        <v>22</v>
      </c>
    </row>
    <row r="3649" spans="1:11" ht="42" customHeight="1">
      <c r="A3649" s="4" t="s">
        <v>8692</v>
      </c>
      <c r="B3649" s="5" t="s">
        <v>8692</v>
      </c>
      <c r="C3649" s="5" t="s">
        <v>198</v>
      </c>
      <c r="D3649" s="5" t="s">
        <v>66</v>
      </c>
      <c r="E3649" s="5" t="s">
        <v>547</v>
      </c>
      <c r="F3649" s="9">
        <v>68</v>
      </c>
      <c r="G3649" s="9">
        <v>765</v>
      </c>
      <c r="H3649" s="5" t="s">
        <v>20</v>
      </c>
      <c r="I3649" s="5" t="s">
        <v>8699</v>
      </c>
      <c r="J3649" s="12" t="str">
        <f>HYPERLINK("https://www.boe.es/gazeta/dias/1804/08/24/pdfs/GMD-1804-68.pdf#page=11","Abrir facsímil")</f>
        <v>Abrir facsímil</v>
      </c>
      <c r="K3649" s="15" t="s">
        <v>22</v>
      </c>
    </row>
    <row r="3650" spans="1:11" ht="42" customHeight="1">
      <c r="A3650" s="4" t="s">
        <v>8692</v>
      </c>
      <c r="B3650" s="5" t="s">
        <v>8692</v>
      </c>
      <c r="C3650" s="5" t="s">
        <v>65</v>
      </c>
      <c r="D3650" s="5" t="s">
        <v>66</v>
      </c>
      <c r="E3650" s="5" t="s">
        <v>547</v>
      </c>
      <c r="F3650" s="9">
        <v>68</v>
      </c>
      <c r="G3650" s="9">
        <v>766</v>
      </c>
      <c r="H3650" s="5" t="s">
        <v>20</v>
      </c>
      <c r="I3650" s="5" t="s">
        <v>8700</v>
      </c>
      <c r="J3650" s="12" t="str">
        <f>HYPERLINK("https://www.boe.es/gazeta/dias/1804/08/24/pdfs/GMD-1804-68.pdf#page=12","Abrir facsímil")</f>
        <v>Abrir facsímil</v>
      </c>
      <c r="K3650" s="15" t="s">
        <v>22</v>
      </c>
    </row>
    <row r="3651" spans="1:11" ht="42" customHeight="1">
      <c r="A3651" s="4" t="s">
        <v>8692</v>
      </c>
      <c r="B3651" s="5" t="s">
        <v>8692</v>
      </c>
      <c r="C3651" s="5" t="s">
        <v>198</v>
      </c>
      <c r="D3651" s="5" t="s">
        <v>66</v>
      </c>
      <c r="E3651" s="5" t="s">
        <v>143</v>
      </c>
      <c r="F3651" s="9">
        <v>87</v>
      </c>
      <c r="G3651" s="9">
        <v>967</v>
      </c>
      <c r="H3651" s="5" t="s">
        <v>20</v>
      </c>
      <c r="I3651" s="5" t="s">
        <v>8701</v>
      </c>
      <c r="J3651" s="12" t="str">
        <f>HYPERLINK("https://www.boe.es/gazeta/dias/1804/10/30/pdfs/GMD-1804-87.pdf#page=11","Abrir facsímil")</f>
        <v>Abrir facsímil</v>
      </c>
      <c r="K3651" s="15" t="s">
        <v>22</v>
      </c>
    </row>
    <row r="3652" spans="1:11" ht="42" customHeight="1">
      <c r="A3652" s="4" t="s">
        <v>8692</v>
      </c>
      <c r="B3652" s="5" t="s">
        <v>8692</v>
      </c>
      <c r="C3652" s="5" t="s">
        <v>198</v>
      </c>
      <c r="D3652" s="5" t="s">
        <v>66</v>
      </c>
      <c r="E3652" s="5" t="s">
        <v>23</v>
      </c>
      <c r="F3652" s="9">
        <v>91</v>
      </c>
      <c r="G3652" s="9">
        <v>1011</v>
      </c>
      <c r="H3652" s="5" t="s">
        <v>20</v>
      </c>
      <c r="I3652" s="5" t="s">
        <v>8702</v>
      </c>
      <c r="J3652" s="12" t="str">
        <f>HYPERLINK("https://www.boe.es/gazeta/dias/1804/11/13/pdfs/GMD-1804-91.pdf#page=11","Abrir facsímil")</f>
        <v>Abrir facsímil</v>
      </c>
      <c r="K3652" s="15" t="s">
        <v>22</v>
      </c>
    </row>
    <row r="3653" spans="1:11" ht="42" customHeight="1">
      <c r="A3653" s="4" t="s">
        <v>8692</v>
      </c>
      <c r="B3653" s="5" t="s">
        <v>8692</v>
      </c>
      <c r="C3653" s="5" t="s">
        <v>198</v>
      </c>
      <c r="D3653" s="5" t="s">
        <v>66</v>
      </c>
      <c r="E3653" s="5" t="s">
        <v>71</v>
      </c>
      <c r="F3653" s="9">
        <v>99</v>
      </c>
      <c r="G3653" s="9">
        <v>1107</v>
      </c>
      <c r="H3653" s="5" t="s">
        <v>20</v>
      </c>
      <c r="I3653" s="5" t="s">
        <v>8703</v>
      </c>
      <c r="J3653" s="12" t="str">
        <f>HYPERLINK("https://www.boe.es/gazeta/dias/1804/12/11/pdfs/GMD-1804-99.pdf#page=7","Abrir facsímil")</f>
        <v>Abrir facsímil</v>
      </c>
      <c r="K3653" s="15" t="s">
        <v>22</v>
      </c>
    </row>
    <row r="3654" spans="1:11" ht="42" customHeight="1">
      <c r="A3654" s="4" t="s">
        <v>8692</v>
      </c>
      <c r="B3654" s="5" t="s">
        <v>8692</v>
      </c>
      <c r="C3654" s="5" t="s">
        <v>198</v>
      </c>
      <c r="D3654" s="5" t="s">
        <v>66</v>
      </c>
      <c r="E3654" s="5" t="s">
        <v>1020</v>
      </c>
      <c r="F3654" s="9">
        <v>103</v>
      </c>
      <c r="G3654" s="9">
        <v>1148</v>
      </c>
      <c r="H3654" s="5" t="s">
        <v>20</v>
      </c>
      <c r="I3654" s="5" t="s">
        <v>8704</v>
      </c>
      <c r="J3654" s="12" t="str">
        <f>HYPERLINK("https://www.boe.es/gazeta/dias/1804/12/25/pdfs/GMD-1804-103.pdf#page=8","Abrir facsímil")</f>
        <v>Abrir facsímil</v>
      </c>
      <c r="K3654" s="15" t="s">
        <v>22</v>
      </c>
    </row>
    <row r="3655" spans="1:11" ht="42" customHeight="1">
      <c r="A3655" s="4" t="s">
        <v>8705</v>
      </c>
      <c r="B3655" s="5" t="s">
        <v>8705</v>
      </c>
      <c r="C3655" s="5" t="s">
        <v>17</v>
      </c>
      <c r="D3655" s="5" t="s">
        <v>18</v>
      </c>
      <c r="E3655" s="5" t="s">
        <v>37</v>
      </c>
      <c r="F3655" s="9">
        <v>29</v>
      </c>
      <c r="G3655" s="9">
        <v>318</v>
      </c>
      <c r="H3655" s="5" t="s">
        <v>20</v>
      </c>
      <c r="I3655" s="5" t="s">
        <v>8706</v>
      </c>
      <c r="J3655" s="12" t="str">
        <f>HYPERLINK("https://www.boe.es/gazeta/dias/1804/04/10/pdfs/GMD-1804-29.pdf#page=8","Abrir facsímil")</f>
        <v>Abrir facsímil</v>
      </c>
      <c r="K3655" s="15" t="s">
        <v>22</v>
      </c>
    </row>
    <row r="3656" spans="1:11" ht="42" customHeight="1">
      <c r="A3656" s="4" t="s">
        <v>8707</v>
      </c>
      <c r="B3656" s="5" t="s">
        <v>8707</v>
      </c>
      <c r="C3656" s="5" t="s">
        <v>27</v>
      </c>
      <c r="D3656" s="5" t="s">
        <v>28</v>
      </c>
      <c r="E3656" s="5" t="s">
        <v>678</v>
      </c>
      <c r="F3656" s="9">
        <v>104</v>
      </c>
      <c r="G3656" s="9">
        <v>1163</v>
      </c>
      <c r="H3656" s="5" t="s">
        <v>20</v>
      </c>
      <c r="I3656" s="5" t="s">
        <v>8708</v>
      </c>
      <c r="J3656" s="12" t="str">
        <f>HYPERLINK("https://www.boe.es/gazeta/dias/1804/12/28/pdfs/GMD-1804-104.pdf#page=11","Abrir facsímil")</f>
        <v>Abrir facsímil</v>
      </c>
      <c r="K3656" s="15" t="s">
        <v>22</v>
      </c>
    </row>
    <row r="3657" spans="1:11" ht="42" customHeight="1">
      <c r="A3657" s="4" t="s">
        <v>8709</v>
      </c>
      <c r="B3657" s="5" t="s">
        <v>8709</v>
      </c>
      <c r="C3657" s="5" t="s">
        <v>65</v>
      </c>
      <c r="D3657" s="5" t="s">
        <v>66</v>
      </c>
      <c r="E3657" s="5" t="s">
        <v>178</v>
      </c>
      <c r="F3657" s="9">
        <v>20</v>
      </c>
      <c r="G3657" s="9">
        <v>219</v>
      </c>
      <c r="H3657" s="5" t="s">
        <v>20</v>
      </c>
      <c r="I3657" s="5" t="s">
        <v>8710</v>
      </c>
      <c r="J3657" s="12" t="str">
        <f>HYPERLINK("https://www.boe.es/gazeta/dias/1804/03/09/pdfs/GMD-1804-20.pdf#page=7","Abrir facsímil")</f>
        <v>Abrir facsímil</v>
      </c>
      <c r="K3657" s="15" t="s">
        <v>22</v>
      </c>
    </row>
    <row r="3658" spans="1:11" ht="42" customHeight="1">
      <c r="A3658" s="4" t="s">
        <v>8711</v>
      </c>
      <c r="B3658" s="5" t="s">
        <v>8711</v>
      </c>
      <c r="C3658" s="5" t="s">
        <v>17</v>
      </c>
      <c r="D3658" s="5" t="s">
        <v>18</v>
      </c>
      <c r="E3658" s="5" t="s">
        <v>421</v>
      </c>
      <c r="F3658" s="9">
        <v>47</v>
      </c>
      <c r="G3658" s="9">
        <v>528</v>
      </c>
      <c r="H3658" s="5" t="s">
        <v>20</v>
      </c>
      <c r="I3658" s="5" t="s">
        <v>8712</v>
      </c>
      <c r="J3658" s="12" t="str">
        <f>HYPERLINK("https://www.boe.es/gazeta/dias/1804/06/12/pdfs/GMD-1804-47.pdf#page=10","Abrir facsímil")</f>
        <v>Abrir facsímil</v>
      </c>
      <c r="K3658" s="15" t="s">
        <v>22</v>
      </c>
    </row>
    <row r="3659" spans="1:11" ht="42" customHeight="1">
      <c r="A3659" s="4" t="s">
        <v>8713</v>
      </c>
      <c r="B3659" s="5" t="s">
        <v>8714</v>
      </c>
      <c r="C3659" s="5" t="s">
        <v>65</v>
      </c>
      <c r="D3659" s="5" t="s">
        <v>66</v>
      </c>
      <c r="E3659" s="5" t="s">
        <v>97</v>
      </c>
      <c r="F3659" s="9">
        <v>50</v>
      </c>
      <c r="G3659" s="9">
        <v>553</v>
      </c>
      <c r="H3659" s="5" t="s">
        <v>20</v>
      </c>
      <c r="I3659" s="5" t="s">
        <v>8715</v>
      </c>
      <c r="J3659" s="12" t="str">
        <f>HYPERLINK("https://www.boe.es/gazeta/dias/1804/06/22/pdfs/GMD-1804-50.pdf#page=7","Abrir facsímil")</f>
        <v>Abrir facsímil</v>
      </c>
      <c r="K3659" s="15" t="s">
        <v>22</v>
      </c>
    </row>
    <row r="3660" spans="1:11" ht="42" customHeight="1">
      <c r="A3660" s="4" t="s">
        <v>8716</v>
      </c>
      <c r="B3660" s="5" t="s">
        <v>8716</v>
      </c>
      <c r="C3660" s="5" t="s">
        <v>27</v>
      </c>
      <c r="D3660" s="5" t="s">
        <v>28</v>
      </c>
      <c r="E3660" s="5" t="s">
        <v>547</v>
      </c>
      <c r="F3660" s="9">
        <v>68</v>
      </c>
      <c r="G3660" s="9">
        <v>764</v>
      </c>
      <c r="H3660" s="5" t="s">
        <v>20</v>
      </c>
      <c r="I3660" s="5" t="s">
        <v>8717</v>
      </c>
      <c r="J3660" s="12" t="str">
        <f>HYPERLINK("https://www.boe.es/gazeta/dias/1804/08/24/pdfs/GMD-1804-68.pdf#page=10","Abrir facsímil")</f>
        <v>Abrir facsímil</v>
      </c>
      <c r="K3660" s="15" t="s">
        <v>22</v>
      </c>
    </row>
    <row r="3661" spans="1:11" ht="42" customHeight="1">
      <c r="A3661" s="4" t="s">
        <v>8718</v>
      </c>
      <c r="B3661" s="5" t="s">
        <v>8718</v>
      </c>
      <c r="C3661" s="5" t="s">
        <v>198</v>
      </c>
      <c r="D3661" s="5" t="s">
        <v>66</v>
      </c>
      <c r="E3661" s="5" t="s">
        <v>526</v>
      </c>
      <c r="F3661" s="9">
        <v>95</v>
      </c>
      <c r="G3661" s="9">
        <v>1057</v>
      </c>
      <c r="H3661" s="5" t="s">
        <v>20</v>
      </c>
      <c r="I3661" s="5" t="s">
        <v>8719</v>
      </c>
      <c r="J3661" s="12" t="str">
        <f>HYPERLINK("https://www.boe.es/gazeta/dias/1804/11/27/pdfs/GMD-1804-95.pdf#page=9","Abrir facsímil")</f>
        <v>Abrir facsímil</v>
      </c>
      <c r="K3661" s="15" t="s">
        <v>22</v>
      </c>
    </row>
    <row r="3662" spans="1:11" ht="42" customHeight="1">
      <c r="A3662" s="4" t="s">
        <v>8720</v>
      </c>
      <c r="B3662" s="5" t="s">
        <v>8720</v>
      </c>
      <c r="C3662" s="5" t="s">
        <v>27</v>
      </c>
      <c r="D3662" s="5" t="s">
        <v>28</v>
      </c>
      <c r="E3662" s="5" t="s">
        <v>199</v>
      </c>
      <c r="F3662" s="9">
        <v>46</v>
      </c>
      <c r="G3662" s="9">
        <v>512</v>
      </c>
      <c r="H3662" s="5" t="s">
        <v>20</v>
      </c>
      <c r="I3662" s="5" t="s">
        <v>8721</v>
      </c>
      <c r="J3662" s="12" t="str">
        <f>HYPERLINK("https://www.boe.es/gazeta/dias/1804/06/08/pdfs/GMD-1804-46.pdf#page=10","Abrir facsímil")</f>
        <v>Abrir facsímil</v>
      </c>
      <c r="K3662" s="15" t="s">
        <v>22</v>
      </c>
    </row>
    <row r="3663" spans="1:11" ht="42" customHeight="1">
      <c r="A3663" s="4" t="s">
        <v>8722</v>
      </c>
      <c r="B3663" s="5" t="s">
        <v>8722</v>
      </c>
      <c r="C3663" s="5" t="s">
        <v>85</v>
      </c>
      <c r="D3663" s="5" t="s">
        <v>86</v>
      </c>
      <c r="E3663" s="5" t="s">
        <v>222</v>
      </c>
      <c r="F3663" s="9">
        <v>4</v>
      </c>
      <c r="G3663" s="9">
        <v>40</v>
      </c>
      <c r="H3663" s="5" t="s">
        <v>20</v>
      </c>
      <c r="I3663" s="5" t="s">
        <v>8723</v>
      </c>
      <c r="J3663" s="12" t="str">
        <f>HYPERLINK("https://www.boe.es/gazeta/dias/1804/01/13/pdfs/GMD-1804-4.pdf#page=12","Abrir facsímil")</f>
        <v>Abrir facsímil</v>
      </c>
      <c r="K3663" s="15" t="s">
        <v>22</v>
      </c>
    </row>
    <row r="3664" spans="1:11" ht="42" customHeight="1">
      <c r="A3664" s="4" t="s">
        <v>8724</v>
      </c>
      <c r="B3664" s="5" t="s">
        <v>8724</v>
      </c>
      <c r="C3664" s="5" t="s">
        <v>27</v>
      </c>
      <c r="D3664" s="5" t="s">
        <v>28</v>
      </c>
      <c r="E3664" s="5" t="s">
        <v>526</v>
      </c>
      <c r="F3664" s="9">
        <v>95</v>
      </c>
      <c r="G3664" s="9">
        <v>1056</v>
      </c>
      <c r="H3664" s="5" t="s">
        <v>20</v>
      </c>
      <c r="I3664" s="5" t="s">
        <v>8725</v>
      </c>
      <c r="J3664" s="12" t="str">
        <f>HYPERLINK("https://www.boe.es/gazeta/dias/1804/11/27/pdfs/GMD-1804-95.pdf#page=8","Abrir facsímil")</f>
        <v>Abrir facsímil</v>
      </c>
      <c r="K3664" s="15" t="s">
        <v>22</v>
      </c>
    </row>
    <row r="3665" spans="1:11" ht="42" customHeight="1">
      <c r="A3665" s="4" t="s">
        <v>8726</v>
      </c>
      <c r="B3665" s="5" t="s">
        <v>8726</v>
      </c>
      <c r="C3665" s="5" t="s">
        <v>27</v>
      </c>
      <c r="D3665" s="5" t="s">
        <v>28</v>
      </c>
      <c r="E3665" s="5" t="s">
        <v>109</v>
      </c>
      <c r="F3665" s="9">
        <v>35</v>
      </c>
      <c r="G3665" s="9">
        <v>387</v>
      </c>
      <c r="H3665" s="5" t="s">
        <v>20</v>
      </c>
      <c r="I3665" s="5" t="s">
        <v>8727</v>
      </c>
      <c r="J3665" s="12" t="str">
        <f>HYPERLINK("https://www.boe.es/gazeta/dias/1804/05/01/pdfs/GMD-1804-35.pdf#page=9","Abrir facsímil")</f>
        <v>Abrir facsímil</v>
      </c>
      <c r="K3665" s="15" t="s">
        <v>22</v>
      </c>
    </row>
    <row r="3666" spans="1:11" ht="42" customHeight="1">
      <c r="A3666" s="4" t="s">
        <v>8728</v>
      </c>
      <c r="B3666" s="5" t="s">
        <v>8728</v>
      </c>
      <c r="C3666" s="5" t="s">
        <v>85</v>
      </c>
      <c r="D3666" s="5" t="s">
        <v>86</v>
      </c>
      <c r="E3666" s="5" t="s">
        <v>111</v>
      </c>
      <c r="F3666" s="9">
        <v>40</v>
      </c>
      <c r="G3666" s="9">
        <v>450</v>
      </c>
      <c r="H3666" s="5" t="s">
        <v>20</v>
      </c>
      <c r="I3666" s="5" t="s">
        <v>8729</v>
      </c>
      <c r="J3666" s="12" t="str">
        <f>HYPERLINK("https://www.boe.es/gazeta/dias/1804/05/18/pdfs/GMD-1804-40.pdf#page=12","Abrir facsímil")</f>
        <v>Abrir facsímil</v>
      </c>
      <c r="K3666" s="15" t="s">
        <v>22</v>
      </c>
    </row>
    <row r="3667" spans="1:11" ht="42" customHeight="1">
      <c r="A3667" s="4" t="s">
        <v>8730</v>
      </c>
      <c r="B3667" s="5" t="s">
        <v>8731</v>
      </c>
      <c r="C3667" s="5" t="s">
        <v>17</v>
      </c>
      <c r="D3667" s="5" t="s">
        <v>18</v>
      </c>
      <c r="E3667" s="5" t="s">
        <v>453</v>
      </c>
      <c r="F3667" s="9">
        <v>33</v>
      </c>
      <c r="G3667" s="9">
        <v>366</v>
      </c>
      <c r="H3667" s="5" t="s">
        <v>20</v>
      </c>
      <c r="I3667" s="5" t="s">
        <v>8732</v>
      </c>
      <c r="J3667" s="12" t="str">
        <f>HYPERLINK("https://www.boe.es/gazeta/dias/1804/04/24/pdfs/GMD-1804-33.pdf#page=8","Abrir facsímil")</f>
        <v>Abrir facsímil</v>
      </c>
      <c r="K3667" s="15" t="s">
        <v>22</v>
      </c>
    </row>
    <row r="3668" spans="1:11" ht="42" customHeight="1">
      <c r="A3668" s="4" t="s">
        <v>8733</v>
      </c>
      <c r="B3668" s="5" t="s">
        <v>8733</v>
      </c>
      <c r="C3668" s="5" t="s">
        <v>17</v>
      </c>
      <c r="D3668" s="5" t="s">
        <v>18</v>
      </c>
      <c r="E3668" s="5" t="s">
        <v>547</v>
      </c>
      <c r="F3668" s="9">
        <v>68</v>
      </c>
      <c r="G3668" s="9">
        <v>763</v>
      </c>
      <c r="H3668" s="5" t="s">
        <v>20</v>
      </c>
      <c r="I3668" s="5" t="s">
        <v>8734</v>
      </c>
      <c r="J3668" s="12" t="str">
        <f>HYPERLINK("https://www.boe.es/gazeta/dias/1804/08/24/pdfs/GMD-1804-68.pdf#page=9","Abrir facsímil")</f>
        <v>Abrir facsímil</v>
      </c>
      <c r="K3668" s="15" t="s">
        <v>22</v>
      </c>
    </row>
    <row r="3669" spans="1:11" ht="42" customHeight="1">
      <c r="A3669" s="4" t="s">
        <v>8735</v>
      </c>
      <c r="B3669" s="5" t="s">
        <v>8735</v>
      </c>
      <c r="C3669" s="5" t="s">
        <v>17</v>
      </c>
      <c r="D3669" s="5" t="s">
        <v>18</v>
      </c>
      <c r="E3669" s="5" t="s">
        <v>547</v>
      </c>
      <c r="F3669" s="9">
        <v>68</v>
      </c>
      <c r="G3669" s="9">
        <v>763</v>
      </c>
      <c r="H3669" s="5" t="s">
        <v>20</v>
      </c>
      <c r="I3669" s="5" t="s">
        <v>8736</v>
      </c>
      <c r="J3669" s="12" t="str">
        <f>HYPERLINK("https://www.boe.es/gazeta/dias/1804/08/24/pdfs/GMD-1804-68.pdf#page=9","Abrir facsímil")</f>
        <v>Abrir facsímil</v>
      </c>
      <c r="K3669" s="15" t="s">
        <v>22</v>
      </c>
    </row>
    <row r="3670" spans="1:11" ht="42" customHeight="1">
      <c r="A3670" s="4" t="s">
        <v>8737</v>
      </c>
      <c r="B3670" s="5" t="s">
        <v>8737</v>
      </c>
      <c r="C3670" s="5" t="s">
        <v>27</v>
      </c>
      <c r="D3670" s="5" t="s">
        <v>28</v>
      </c>
      <c r="E3670" s="5" t="s">
        <v>398</v>
      </c>
      <c r="F3670" s="9">
        <v>22</v>
      </c>
      <c r="G3670" s="9">
        <v>244</v>
      </c>
      <c r="H3670" s="5" t="s">
        <v>20</v>
      </c>
      <c r="I3670" s="5" t="s">
        <v>8738</v>
      </c>
      <c r="J3670" s="12" t="str">
        <f>HYPERLINK("https://www.boe.es/gazeta/dias/1804/03/16/pdfs/GMD-1804-22.pdf#page=8","Abrir facsímil")</f>
        <v>Abrir facsímil</v>
      </c>
      <c r="K3670" s="15" t="s">
        <v>22</v>
      </c>
    </row>
    <row r="3671" spans="1:11" ht="42" customHeight="1">
      <c r="A3671" s="4" t="s">
        <v>8739</v>
      </c>
      <c r="B3671" s="5" t="s">
        <v>8740</v>
      </c>
      <c r="C3671" s="5" t="s">
        <v>65</v>
      </c>
      <c r="D3671" s="5" t="s">
        <v>66</v>
      </c>
      <c r="E3671" s="5" t="s">
        <v>623</v>
      </c>
      <c r="F3671" s="9">
        <v>51</v>
      </c>
      <c r="G3671" s="9">
        <v>565</v>
      </c>
      <c r="H3671" s="5" t="s">
        <v>20</v>
      </c>
      <c r="I3671" s="5" t="s">
        <v>8741</v>
      </c>
      <c r="J3671" s="12" t="str">
        <f>HYPERLINK("https://www.boe.es/gazeta/dias/1804/06/26/pdfs/GMD-1804-51.pdf#page=11","Abrir facsímil")</f>
        <v>Abrir facsímil</v>
      </c>
      <c r="K3671" s="15" t="s">
        <v>22</v>
      </c>
    </row>
    <row r="3672" spans="1:11" ht="42" customHeight="1">
      <c r="A3672" s="4" t="s">
        <v>8742</v>
      </c>
      <c r="B3672" s="5" t="s">
        <v>8742</v>
      </c>
      <c r="C3672" s="5" t="s">
        <v>17</v>
      </c>
      <c r="D3672" s="5" t="s">
        <v>18</v>
      </c>
      <c r="E3672" s="5" t="s">
        <v>61</v>
      </c>
      <c r="F3672" s="9">
        <v>61</v>
      </c>
      <c r="G3672" s="9">
        <v>677</v>
      </c>
      <c r="H3672" s="5" t="s">
        <v>20</v>
      </c>
      <c r="I3672" s="5" t="s">
        <v>8743</v>
      </c>
      <c r="J3672" s="12" t="str">
        <f>HYPERLINK("https://www.boe.es/gazeta/dias/1804/07/31/pdfs/GMD-1804-61.pdf#page=7","Abrir facsímil")</f>
        <v>Abrir facsímil</v>
      </c>
      <c r="K3672" s="15" t="s">
        <v>22</v>
      </c>
    </row>
    <row r="3673" spans="1:11" ht="42" customHeight="1">
      <c r="A3673" s="4" t="s">
        <v>8744</v>
      </c>
      <c r="B3673" s="5" t="s">
        <v>8744</v>
      </c>
      <c r="C3673" s="5" t="s">
        <v>27</v>
      </c>
      <c r="D3673" s="5" t="s">
        <v>28</v>
      </c>
      <c r="E3673" s="5" t="s">
        <v>576</v>
      </c>
      <c r="F3673" s="9">
        <v>85</v>
      </c>
      <c r="G3673" s="9">
        <v>940</v>
      </c>
      <c r="H3673" s="5" t="s">
        <v>20</v>
      </c>
      <c r="I3673" s="5" t="s">
        <v>8745</v>
      </c>
      <c r="J3673" s="12" t="str">
        <f>HYPERLINK("https://www.boe.es/gazeta/dias/1804/10/23/pdfs/GMD-1804-85.pdf#page=10","Abrir facsímil")</f>
        <v>Abrir facsímil</v>
      </c>
      <c r="K3673" s="15" t="s">
        <v>22</v>
      </c>
    </row>
    <row r="3674" spans="1:11" ht="42" customHeight="1">
      <c r="A3674" s="4" t="s">
        <v>8746</v>
      </c>
      <c r="B3674" s="5" t="s">
        <v>8746</v>
      </c>
      <c r="C3674" s="5" t="s">
        <v>27</v>
      </c>
      <c r="D3674" s="5" t="s">
        <v>28</v>
      </c>
      <c r="E3674" s="5" t="s">
        <v>484</v>
      </c>
      <c r="F3674" s="9">
        <v>53</v>
      </c>
      <c r="G3674" s="9">
        <v>591</v>
      </c>
      <c r="H3674" s="5" t="s">
        <v>20</v>
      </c>
      <c r="I3674" s="5" t="s">
        <v>8747</v>
      </c>
      <c r="J3674" s="12" t="str">
        <f>HYPERLINK("https://www.boe.es/gazeta/dias/1804/07/03/pdfs/GMD-1804-53.pdf#page=9","Abrir facsímil")</f>
        <v>Abrir facsímil</v>
      </c>
      <c r="K3674" s="15" t="s">
        <v>22</v>
      </c>
    </row>
    <row r="3675" spans="1:11" ht="42" customHeight="1">
      <c r="A3675" s="4" t="s">
        <v>8748</v>
      </c>
      <c r="B3675" s="5" t="s">
        <v>8748</v>
      </c>
      <c r="C3675" s="5" t="s">
        <v>27</v>
      </c>
      <c r="D3675" s="5" t="s">
        <v>28</v>
      </c>
      <c r="E3675" s="5" t="s">
        <v>794</v>
      </c>
      <c r="F3675" s="9">
        <v>42</v>
      </c>
      <c r="G3675" s="9">
        <v>473</v>
      </c>
      <c r="H3675" s="5" t="s">
        <v>20</v>
      </c>
      <c r="I3675" s="5" t="s">
        <v>8749</v>
      </c>
      <c r="J3675" s="12" t="str">
        <f>HYPERLINK("https://www.boe.es/gazeta/dias/1804/05/25/pdfs/GMD-1804-42.pdf#page=11","Abrir facsímil")</f>
        <v>Abrir facsímil</v>
      </c>
      <c r="K3675" s="15" t="s">
        <v>22</v>
      </c>
    </row>
    <row r="3676" spans="1:11" ht="42" customHeight="1">
      <c r="A3676" s="4" t="s">
        <v>8750</v>
      </c>
      <c r="B3676" s="5" t="s">
        <v>8750</v>
      </c>
      <c r="C3676" s="5" t="s">
        <v>65</v>
      </c>
      <c r="D3676" s="5" t="s">
        <v>66</v>
      </c>
      <c r="E3676" s="5" t="s">
        <v>298</v>
      </c>
      <c r="F3676" s="9">
        <v>10</v>
      </c>
      <c r="G3676" s="9">
        <v>109</v>
      </c>
      <c r="H3676" s="5" t="s">
        <v>20</v>
      </c>
      <c r="I3676" s="5" t="s">
        <v>8751</v>
      </c>
      <c r="J3676" s="12" t="str">
        <f>HYPERLINK("https://www.boe.es/gazeta/dias/1804/02/03/pdfs/GMD-1804-10.pdf#page=9","Abrir facsímil")</f>
        <v>Abrir facsímil</v>
      </c>
      <c r="K3676" s="15" t="s">
        <v>22</v>
      </c>
    </row>
    <row r="3677" spans="1:11" ht="42" customHeight="1">
      <c r="A3677" s="4" t="s">
        <v>8752</v>
      </c>
      <c r="B3677" s="5" t="s">
        <v>8752</v>
      </c>
      <c r="C3677" s="5" t="s">
        <v>27</v>
      </c>
      <c r="D3677" s="5" t="s">
        <v>28</v>
      </c>
      <c r="E3677" s="5" t="s">
        <v>490</v>
      </c>
      <c r="F3677" s="9">
        <v>100</v>
      </c>
      <c r="G3677" s="9">
        <v>1119</v>
      </c>
      <c r="H3677" s="5" t="s">
        <v>20</v>
      </c>
      <c r="I3677" s="5" t="s">
        <v>8753</v>
      </c>
      <c r="J3677" s="12" t="str">
        <f>HYPERLINK("https://www.boe.es/gazeta/dias/1804/12/14/pdfs/GMD-1804-100.pdf#page=11","Abrir facsímil")</f>
        <v>Abrir facsímil</v>
      </c>
      <c r="K3677" s="15" t="s">
        <v>22</v>
      </c>
    </row>
    <row r="3678" spans="1:11" ht="42" customHeight="1">
      <c r="A3678" s="4" t="s">
        <v>8754</v>
      </c>
      <c r="B3678" s="5" t="s">
        <v>8754</v>
      </c>
      <c r="C3678" s="5" t="s">
        <v>27</v>
      </c>
      <c r="D3678" s="5" t="s">
        <v>28</v>
      </c>
      <c r="E3678" s="5" t="s">
        <v>182</v>
      </c>
      <c r="F3678" s="9">
        <v>21</v>
      </c>
      <c r="G3678" s="9">
        <v>234</v>
      </c>
      <c r="H3678" s="5" t="s">
        <v>20</v>
      </c>
      <c r="I3678" s="5" t="s">
        <v>8755</v>
      </c>
      <c r="J3678" s="12" t="str">
        <f>HYPERLINK("https://www.boe.es/gazeta/dias/1804/03/13/pdfs/GMD-1804-21.pdf#page=10","Abrir facsímil")</f>
        <v>Abrir facsímil</v>
      </c>
      <c r="K3678" s="15" t="s">
        <v>22</v>
      </c>
    </row>
    <row r="3679" spans="1:11" ht="42" customHeight="1">
      <c r="A3679" s="4" t="s">
        <v>8756</v>
      </c>
      <c r="B3679" s="5" t="s">
        <v>8756</v>
      </c>
      <c r="C3679" s="5" t="s">
        <v>198</v>
      </c>
      <c r="D3679" s="5" t="s">
        <v>66</v>
      </c>
      <c r="E3679" s="5" t="s">
        <v>1337</v>
      </c>
      <c r="F3679" s="9">
        <v>7</v>
      </c>
      <c r="G3679" s="9">
        <v>71</v>
      </c>
      <c r="H3679" s="5" t="s">
        <v>20</v>
      </c>
      <c r="I3679" s="5" t="s">
        <v>8757</v>
      </c>
      <c r="J3679" s="12" t="str">
        <f>HYPERLINK("https://www.boe.es/gazeta/dias/1804/01/24/pdfs/GMD-1804-7.pdf#page=11","Abrir facsímil")</f>
        <v>Abrir facsímil</v>
      </c>
      <c r="K3679" s="15" t="s">
        <v>22</v>
      </c>
    </row>
    <row r="3680" spans="1:11" ht="42" customHeight="1">
      <c r="A3680" s="4" t="s">
        <v>8758</v>
      </c>
      <c r="B3680" s="5" t="s">
        <v>8759</v>
      </c>
      <c r="C3680" s="5" t="s">
        <v>27</v>
      </c>
      <c r="D3680" s="5" t="s">
        <v>28</v>
      </c>
      <c r="E3680" s="5" t="s">
        <v>33</v>
      </c>
      <c r="F3680" s="9">
        <v>48</v>
      </c>
      <c r="G3680" s="9">
        <v>537</v>
      </c>
      <c r="H3680" s="5" t="s">
        <v>20</v>
      </c>
      <c r="I3680" s="5" t="s">
        <v>8760</v>
      </c>
      <c r="J3680" s="12" t="str">
        <f>HYPERLINK("https://www.boe.es/gazeta/dias/1804/06/15/pdfs/GMD-1804-48.pdf#page=7","Abrir facsímil")</f>
        <v>Abrir facsímil</v>
      </c>
      <c r="K3680" s="15" t="s">
        <v>22</v>
      </c>
    </row>
    <row r="3681" spans="1:11" ht="42" customHeight="1">
      <c r="A3681" s="4" t="s">
        <v>8761</v>
      </c>
      <c r="B3681" s="5" t="s">
        <v>8761</v>
      </c>
      <c r="C3681" s="5" t="s">
        <v>27</v>
      </c>
      <c r="D3681" s="5" t="s">
        <v>28</v>
      </c>
      <c r="E3681" s="5" t="s">
        <v>1278</v>
      </c>
      <c r="F3681" s="9">
        <v>37</v>
      </c>
      <c r="G3681" s="9">
        <v>410</v>
      </c>
      <c r="H3681" s="5" t="s">
        <v>20</v>
      </c>
      <c r="I3681" s="5" t="s">
        <v>8762</v>
      </c>
      <c r="J3681" s="12" t="str">
        <f>HYPERLINK("https://www.boe.es/gazeta/dias/1804/05/08/pdfs/GMD-1804-37.pdf#page=8","Abrir facsímil")</f>
        <v>Abrir facsímil</v>
      </c>
      <c r="K3681" s="15" t="s">
        <v>22</v>
      </c>
    </row>
    <row r="3682" spans="1:11" ht="42" customHeight="1">
      <c r="A3682" s="4" t="s">
        <v>8761</v>
      </c>
      <c r="B3682" s="5" t="s">
        <v>8761</v>
      </c>
      <c r="C3682" s="5" t="s">
        <v>85</v>
      </c>
      <c r="D3682" s="5" t="s">
        <v>86</v>
      </c>
      <c r="E3682" s="5" t="s">
        <v>367</v>
      </c>
      <c r="F3682" s="9">
        <v>64</v>
      </c>
      <c r="G3682" s="9">
        <v>715</v>
      </c>
      <c r="H3682" s="5" t="s">
        <v>20</v>
      </c>
      <c r="I3682" s="5" t="s">
        <v>8763</v>
      </c>
      <c r="J3682" s="12" t="str">
        <f>HYPERLINK("https://www.boe.es/gazeta/dias/1804/08/10/pdfs/GMD-1804-64.pdf#page=9","Abrir facsímil")</f>
        <v>Abrir facsímil</v>
      </c>
      <c r="K3682" s="15" t="s">
        <v>22</v>
      </c>
    </row>
    <row r="3683" spans="1:11" ht="42" customHeight="1">
      <c r="A3683" s="4" t="s">
        <v>8764</v>
      </c>
      <c r="B3683" s="5" t="s">
        <v>8764</v>
      </c>
      <c r="C3683" s="5" t="s">
        <v>27</v>
      </c>
      <c r="D3683" s="5" t="s">
        <v>28</v>
      </c>
      <c r="E3683" s="5" t="s">
        <v>81</v>
      </c>
      <c r="F3683" s="9">
        <v>98</v>
      </c>
      <c r="G3683" s="9">
        <v>1090</v>
      </c>
      <c r="H3683" s="5" t="s">
        <v>20</v>
      </c>
      <c r="I3683" s="5" t="s">
        <v>8765</v>
      </c>
      <c r="J3683" s="12" t="str">
        <f>HYPERLINK("https://www.boe.es/gazeta/dias/1804/12/07/pdfs/GMD-1804-98.pdf#page=6","Abrir facsímil")</f>
        <v>Abrir facsímil</v>
      </c>
      <c r="K3683" s="15" t="s">
        <v>22</v>
      </c>
    </row>
    <row r="3684" spans="1:11" ht="42" customHeight="1">
      <c r="A3684" s="4" t="s">
        <v>8766</v>
      </c>
      <c r="B3684" s="5" t="s">
        <v>8766</v>
      </c>
      <c r="C3684" s="5" t="s">
        <v>17</v>
      </c>
      <c r="D3684" s="5" t="s">
        <v>18</v>
      </c>
      <c r="E3684" s="5" t="s">
        <v>453</v>
      </c>
      <c r="F3684" s="9">
        <v>33</v>
      </c>
      <c r="G3684" s="9">
        <v>366</v>
      </c>
      <c r="H3684" s="5" t="s">
        <v>20</v>
      </c>
      <c r="I3684" s="5" t="s">
        <v>8767</v>
      </c>
      <c r="J3684" s="12" t="str">
        <f>HYPERLINK("https://www.boe.es/gazeta/dias/1804/04/24/pdfs/GMD-1804-33.pdf#page=8","Abrir facsímil")</f>
        <v>Abrir facsímil</v>
      </c>
      <c r="K3684" s="15" t="s">
        <v>22</v>
      </c>
    </row>
    <row r="3685" spans="1:11" ht="42" customHeight="1">
      <c r="A3685" s="4" t="s">
        <v>8768</v>
      </c>
      <c r="B3685" s="5" t="s">
        <v>8768</v>
      </c>
      <c r="C3685" s="5" t="s">
        <v>17</v>
      </c>
      <c r="D3685" s="5" t="s">
        <v>18</v>
      </c>
      <c r="E3685" s="5" t="s">
        <v>71</v>
      </c>
      <c r="F3685" s="9">
        <v>99</v>
      </c>
      <c r="G3685" s="9">
        <v>1107</v>
      </c>
      <c r="H3685" s="5" t="s">
        <v>20</v>
      </c>
      <c r="I3685" s="5" t="s">
        <v>8769</v>
      </c>
      <c r="J3685" s="12" t="str">
        <f>HYPERLINK("https://www.boe.es/gazeta/dias/1804/12/11/pdfs/GMD-1804-99.pdf#page=7","Abrir facsímil")</f>
        <v>Abrir facsímil</v>
      </c>
      <c r="K3685" s="15" t="s">
        <v>22</v>
      </c>
    </row>
    <row r="3686" spans="1:11" ht="42" customHeight="1">
      <c r="A3686" s="4" t="s">
        <v>8770</v>
      </c>
      <c r="B3686" s="5" t="s">
        <v>8770</v>
      </c>
      <c r="C3686" s="5" t="s">
        <v>27</v>
      </c>
      <c r="D3686" s="5" t="s">
        <v>28</v>
      </c>
      <c r="E3686" s="5" t="s">
        <v>378</v>
      </c>
      <c r="F3686" s="9">
        <v>65</v>
      </c>
      <c r="G3686" s="9">
        <v>732</v>
      </c>
      <c r="H3686" s="5" t="s">
        <v>20</v>
      </c>
      <c r="I3686" s="5" t="s">
        <v>8771</v>
      </c>
      <c r="J3686" s="12" t="str">
        <f>HYPERLINK("https://www.boe.es/gazeta/dias/1804/08/14/pdfs/GMD-1804-65.pdf#page=10","Abrir facsímil")</f>
        <v>Abrir facsímil</v>
      </c>
      <c r="K3686" s="15" t="s">
        <v>22</v>
      </c>
    </row>
    <row r="3687" spans="1:11" ht="42" customHeight="1">
      <c r="A3687" s="4" t="s">
        <v>8772</v>
      </c>
      <c r="B3687" s="5" t="s">
        <v>8772</v>
      </c>
      <c r="C3687" s="5" t="s">
        <v>65</v>
      </c>
      <c r="D3687" s="5" t="s">
        <v>66</v>
      </c>
      <c r="E3687" s="5" t="s">
        <v>466</v>
      </c>
      <c r="F3687" s="9">
        <v>76</v>
      </c>
      <c r="G3687" s="9">
        <v>847</v>
      </c>
      <c r="H3687" s="5" t="s">
        <v>20</v>
      </c>
      <c r="I3687" s="5" t="s">
        <v>8773</v>
      </c>
      <c r="J3687" s="12" t="str">
        <f>HYPERLINK("https://www.boe.es/gazeta/dias/1804/09/21/pdfs/GMD-1804-76.pdf#page=5","Abrir facsímil")</f>
        <v>Abrir facsímil</v>
      </c>
      <c r="K3687" s="15" t="s">
        <v>22</v>
      </c>
    </row>
    <row r="3688" spans="1:11" ht="42" customHeight="1">
      <c r="A3688" s="4" t="s">
        <v>8774</v>
      </c>
      <c r="B3688" s="5" t="s">
        <v>8774</v>
      </c>
      <c r="C3688" s="5" t="s">
        <v>17</v>
      </c>
      <c r="D3688" s="5" t="s">
        <v>18</v>
      </c>
      <c r="E3688" s="5" t="s">
        <v>637</v>
      </c>
      <c r="F3688" s="9">
        <v>74</v>
      </c>
      <c r="G3688" s="9">
        <v>829</v>
      </c>
      <c r="H3688" s="5" t="s">
        <v>20</v>
      </c>
      <c r="I3688" s="5" t="s">
        <v>8775</v>
      </c>
      <c r="J3688" s="12" t="str">
        <f>HYPERLINK("https://www.boe.es/gazeta/dias/1804/09/14/pdfs/GMD-1804-74.pdf#page=7","Abrir facsímil")</f>
        <v>Abrir facsímil</v>
      </c>
      <c r="K3688" s="15" t="s">
        <v>22</v>
      </c>
    </row>
    <row r="3689" spans="1:11" ht="42" customHeight="1">
      <c r="A3689" s="4" t="s">
        <v>8776</v>
      </c>
      <c r="B3689" s="5" t="s">
        <v>8776</v>
      </c>
      <c r="C3689" s="5" t="s">
        <v>27</v>
      </c>
      <c r="D3689" s="5" t="s">
        <v>28</v>
      </c>
      <c r="E3689" s="5" t="s">
        <v>19</v>
      </c>
      <c r="F3689" s="9">
        <v>60</v>
      </c>
      <c r="G3689" s="9">
        <v>665</v>
      </c>
      <c r="H3689" s="5" t="s">
        <v>20</v>
      </c>
      <c r="I3689" s="5" t="s">
        <v>8777</v>
      </c>
      <c r="J3689" s="12" t="str">
        <f>HYPERLINK("https://www.boe.es/gazeta/dias/1804/07/27/pdfs/GMD-1804-60.pdf#page=7","Abrir facsímil")</f>
        <v>Abrir facsímil</v>
      </c>
      <c r="K3689" s="15" t="s">
        <v>22</v>
      </c>
    </row>
    <row r="3690" spans="1:11" ht="42" customHeight="1">
      <c r="A3690" s="4" t="s">
        <v>8778</v>
      </c>
      <c r="B3690" s="5" t="s">
        <v>8778</v>
      </c>
      <c r="C3690" s="5" t="s">
        <v>27</v>
      </c>
      <c r="D3690" s="5" t="s">
        <v>28</v>
      </c>
      <c r="E3690" s="5" t="s">
        <v>308</v>
      </c>
      <c r="F3690" s="9">
        <v>96</v>
      </c>
      <c r="G3690" s="9">
        <v>1068</v>
      </c>
      <c r="H3690" s="5" t="s">
        <v>20</v>
      </c>
      <c r="I3690" s="5" t="s">
        <v>8779</v>
      </c>
      <c r="J3690" s="12" t="str">
        <f>HYPERLINK("https://www.boe.es/gazeta/dias/1804/11/30/pdfs/GMD-1804-96.pdf#page=8","Abrir facsímil")</f>
        <v>Abrir facsímil</v>
      </c>
      <c r="K3690" s="15" t="s">
        <v>22</v>
      </c>
    </row>
    <row r="3691" spans="1:11" ht="42" customHeight="1">
      <c r="A3691" s="4" t="s">
        <v>8780</v>
      </c>
      <c r="B3691" s="5" t="s">
        <v>8780</v>
      </c>
      <c r="C3691" s="5" t="s">
        <v>27</v>
      </c>
      <c r="D3691" s="5" t="s">
        <v>28</v>
      </c>
      <c r="E3691" s="5" t="s">
        <v>308</v>
      </c>
      <c r="F3691" s="9">
        <v>96</v>
      </c>
      <c r="G3691" s="9">
        <v>1067</v>
      </c>
      <c r="H3691" s="5" t="s">
        <v>20</v>
      </c>
      <c r="I3691" s="5" t="s">
        <v>8781</v>
      </c>
      <c r="J3691" s="12" t="str">
        <f>HYPERLINK("https://www.boe.es/gazeta/dias/1804/11/30/pdfs/GMD-1804-96.pdf#page=7","Abrir facsímil")</f>
        <v>Abrir facsímil</v>
      </c>
      <c r="K3691" s="15" t="s">
        <v>22</v>
      </c>
    </row>
    <row r="3692" spans="1:11" ht="42" customHeight="1">
      <c r="A3692" s="4" t="s">
        <v>8782</v>
      </c>
      <c r="B3692" s="5" t="s">
        <v>8782</v>
      </c>
      <c r="C3692" s="5" t="s">
        <v>27</v>
      </c>
      <c r="D3692" s="5" t="s">
        <v>28</v>
      </c>
      <c r="E3692" s="5" t="s">
        <v>637</v>
      </c>
      <c r="F3692" s="9">
        <v>74</v>
      </c>
      <c r="G3692" s="9">
        <v>831</v>
      </c>
      <c r="H3692" s="5" t="s">
        <v>20</v>
      </c>
      <c r="I3692" s="5" t="s">
        <v>8783</v>
      </c>
      <c r="J3692" s="12" t="str">
        <f>HYPERLINK("https://www.boe.es/gazeta/dias/1804/09/14/pdfs/GMD-1804-74.pdf#page=9","Abrir facsímil")</f>
        <v>Abrir facsímil</v>
      </c>
      <c r="K3692" s="15" t="s">
        <v>22</v>
      </c>
    </row>
    <row r="3693" spans="1:11" ht="42" customHeight="1">
      <c r="A3693" s="4" t="s">
        <v>8784</v>
      </c>
      <c r="B3693" s="5" t="s">
        <v>8784</v>
      </c>
      <c r="C3693" s="5" t="s">
        <v>27</v>
      </c>
      <c r="D3693" s="5" t="s">
        <v>28</v>
      </c>
      <c r="E3693" s="5" t="s">
        <v>178</v>
      </c>
      <c r="F3693" s="9">
        <v>20</v>
      </c>
      <c r="G3693" s="9">
        <v>220</v>
      </c>
      <c r="H3693" s="5" t="s">
        <v>20</v>
      </c>
      <c r="I3693" s="5" t="s">
        <v>8785</v>
      </c>
      <c r="J3693" s="12" t="str">
        <f>HYPERLINK("https://www.boe.es/gazeta/dias/1804/03/09/pdfs/GMD-1804-20.pdf#page=8","Abrir facsímil")</f>
        <v>Abrir facsímil</v>
      </c>
      <c r="K3693" s="15" t="s">
        <v>22</v>
      </c>
    </row>
    <row r="3694" spans="1:11" ht="42" customHeight="1">
      <c r="A3694" s="4" t="s">
        <v>8786</v>
      </c>
      <c r="B3694" s="5" t="s">
        <v>8786</v>
      </c>
      <c r="C3694" s="5" t="s">
        <v>27</v>
      </c>
      <c r="D3694" s="5" t="s">
        <v>28</v>
      </c>
      <c r="E3694" s="5" t="s">
        <v>479</v>
      </c>
      <c r="F3694" s="9">
        <v>5</v>
      </c>
      <c r="G3694" s="9">
        <v>47</v>
      </c>
      <c r="H3694" s="5" t="s">
        <v>20</v>
      </c>
      <c r="I3694" s="5" t="s">
        <v>8787</v>
      </c>
      <c r="J3694" s="12" t="str">
        <f>HYPERLINK("https://www.boe.es/gazeta/dias/1804/01/17/pdfs/GMD-1804-5.pdf#page=7","Abrir facsímil")</f>
        <v>Abrir facsímil</v>
      </c>
      <c r="K3694" s="15" t="s">
        <v>22</v>
      </c>
    </row>
    <row r="3695" spans="1:11" ht="42" customHeight="1">
      <c r="A3695" s="4" t="s">
        <v>8788</v>
      </c>
      <c r="B3695" s="5" t="s">
        <v>8788</v>
      </c>
      <c r="C3695" s="5" t="s">
        <v>17</v>
      </c>
      <c r="D3695" s="5" t="s">
        <v>18</v>
      </c>
      <c r="E3695" s="5" t="s">
        <v>272</v>
      </c>
      <c r="F3695" s="9">
        <v>30</v>
      </c>
      <c r="G3695" s="9">
        <v>330</v>
      </c>
      <c r="H3695" s="5" t="s">
        <v>20</v>
      </c>
      <c r="I3695" s="5" t="s">
        <v>8789</v>
      </c>
      <c r="J3695" s="12" t="str">
        <f>HYPERLINK("https://www.boe.es/gazeta/dias/1804/04/13/pdfs/GMD-1804-30.pdf#page=8","Abrir facsímil")</f>
        <v>Abrir facsímil</v>
      </c>
      <c r="K3695" s="15" t="s">
        <v>22</v>
      </c>
    </row>
    <row r="3696" spans="1:11" ht="42" customHeight="1">
      <c r="A3696" s="4" t="s">
        <v>8790</v>
      </c>
      <c r="B3696" s="5" t="s">
        <v>8790</v>
      </c>
      <c r="C3696" s="5" t="s">
        <v>27</v>
      </c>
      <c r="D3696" s="5" t="s">
        <v>28</v>
      </c>
      <c r="E3696" s="5" t="s">
        <v>191</v>
      </c>
      <c r="F3696" s="9">
        <v>101</v>
      </c>
      <c r="G3696" s="9">
        <v>1129</v>
      </c>
      <c r="H3696" s="5" t="s">
        <v>20</v>
      </c>
      <c r="I3696" s="5" t="s">
        <v>8791</v>
      </c>
      <c r="J3696" s="12" t="str">
        <f>HYPERLINK("https://www.boe.es/gazeta/dias/1804/12/18/pdfs/GMD-1804-101.pdf#page=9","Abrir facsímil")</f>
        <v>Abrir facsímil</v>
      </c>
      <c r="K3696" s="15" t="s">
        <v>22</v>
      </c>
    </row>
    <row r="3697" spans="1:11" ht="42" customHeight="1">
      <c r="A3697" s="4" t="s">
        <v>8792</v>
      </c>
      <c r="B3697" s="5" t="s">
        <v>8792</v>
      </c>
      <c r="C3697" s="5" t="s">
        <v>27</v>
      </c>
      <c r="D3697" s="5" t="s">
        <v>28</v>
      </c>
      <c r="E3697" s="5" t="s">
        <v>1020</v>
      </c>
      <c r="F3697" s="9">
        <v>103</v>
      </c>
      <c r="G3697" s="9">
        <v>1147</v>
      </c>
      <c r="H3697" s="5" t="s">
        <v>20</v>
      </c>
      <c r="I3697" s="5" t="s">
        <v>8793</v>
      </c>
      <c r="J3697" s="12" t="str">
        <f>HYPERLINK("https://www.boe.es/gazeta/dias/1804/12/25/pdfs/GMD-1804-103.pdf#page=7","Abrir facsímil")</f>
        <v>Abrir facsímil</v>
      </c>
      <c r="K3697" s="15" t="s">
        <v>22</v>
      </c>
    </row>
    <row r="3698" spans="1:11" ht="42" customHeight="1">
      <c r="A3698" s="4" t="s">
        <v>8794</v>
      </c>
      <c r="B3698" s="5" t="s">
        <v>8794</v>
      </c>
      <c r="C3698" s="5" t="s">
        <v>27</v>
      </c>
      <c r="D3698" s="5" t="s">
        <v>28</v>
      </c>
      <c r="E3698" s="5" t="s">
        <v>258</v>
      </c>
      <c r="F3698" s="9">
        <v>14</v>
      </c>
      <c r="G3698" s="9">
        <v>153</v>
      </c>
      <c r="H3698" s="5" t="s">
        <v>20</v>
      </c>
      <c r="I3698" s="5" t="s">
        <v>8795</v>
      </c>
      <c r="J3698" s="12" t="str">
        <f>HYPERLINK("https://www.boe.es/gazeta/dias/1804/02/17/pdfs/GMD-1804-14.pdf#page=9","Abrir facsímil")</f>
        <v>Abrir facsímil</v>
      </c>
      <c r="K3698" s="15" t="s">
        <v>22</v>
      </c>
    </row>
    <row r="3699" spans="1:11" ht="42" customHeight="1">
      <c r="A3699" s="4" t="s">
        <v>8794</v>
      </c>
      <c r="B3699" s="5" t="s">
        <v>8794</v>
      </c>
      <c r="C3699" s="5" t="s">
        <v>27</v>
      </c>
      <c r="D3699" s="5" t="s">
        <v>28</v>
      </c>
      <c r="E3699" s="5" t="s">
        <v>490</v>
      </c>
      <c r="F3699" s="9">
        <v>100</v>
      </c>
      <c r="G3699" s="9">
        <v>1119</v>
      </c>
      <c r="H3699" s="5" t="s">
        <v>20</v>
      </c>
      <c r="I3699" s="5" t="s">
        <v>8796</v>
      </c>
      <c r="J3699" s="12" t="str">
        <f>HYPERLINK("https://www.boe.es/gazeta/dias/1804/12/14/pdfs/GMD-1804-100.pdf#page=11","Abrir facsímil")</f>
        <v>Abrir facsímil</v>
      </c>
      <c r="K3699" s="15" t="s">
        <v>22</v>
      </c>
    </row>
    <row r="3700" spans="1:11" ht="42" customHeight="1">
      <c r="A3700" s="4" t="s">
        <v>8797</v>
      </c>
      <c r="B3700" s="5" t="s">
        <v>8798</v>
      </c>
      <c r="C3700" s="5" t="s">
        <v>27</v>
      </c>
      <c r="D3700" s="5" t="s">
        <v>28</v>
      </c>
      <c r="E3700" s="5" t="s">
        <v>1278</v>
      </c>
      <c r="F3700" s="9">
        <v>37</v>
      </c>
      <c r="G3700" s="9">
        <v>411</v>
      </c>
      <c r="H3700" s="5" t="s">
        <v>20</v>
      </c>
      <c r="I3700" s="5" t="s">
        <v>8799</v>
      </c>
      <c r="J3700" s="12" t="str">
        <f>HYPERLINK("https://www.boe.es/gazeta/dias/1804/05/08/pdfs/GMD-1804-37.pdf#page=9","Abrir facsímil")</f>
        <v>Abrir facsímil</v>
      </c>
      <c r="K3700" s="15" t="s">
        <v>22</v>
      </c>
    </row>
    <row r="3701" spans="1:11" ht="42" customHeight="1">
      <c r="A3701" s="4" t="s">
        <v>8800</v>
      </c>
      <c r="B3701" s="5" t="s">
        <v>8801</v>
      </c>
      <c r="C3701" s="5" t="s">
        <v>27</v>
      </c>
      <c r="D3701" s="5" t="s">
        <v>28</v>
      </c>
      <c r="E3701" s="5" t="s">
        <v>666</v>
      </c>
      <c r="F3701" s="9">
        <v>57</v>
      </c>
      <c r="G3701" s="9">
        <v>632</v>
      </c>
      <c r="H3701" s="5" t="s">
        <v>20</v>
      </c>
      <c r="I3701" s="5" t="s">
        <v>8802</v>
      </c>
      <c r="J3701" s="12" t="str">
        <f>HYPERLINK("https://www.boe.es/gazeta/dias/1804/07/17/pdfs/GMD-1804-57.pdf#page=10","Abrir facsímil")</f>
        <v>Abrir facsímil</v>
      </c>
      <c r="K3701" s="15" t="s">
        <v>22</v>
      </c>
    </row>
    <row r="3702" spans="1:11" ht="42" customHeight="1">
      <c r="A3702" s="4" t="s">
        <v>8803</v>
      </c>
      <c r="B3702" s="5" t="s">
        <v>8804</v>
      </c>
      <c r="C3702" s="5" t="s">
        <v>27</v>
      </c>
      <c r="D3702" s="5" t="s">
        <v>28</v>
      </c>
      <c r="E3702" s="5" t="s">
        <v>388</v>
      </c>
      <c r="F3702" s="9">
        <v>18</v>
      </c>
      <c r="G3702" s="9">
        <v>198</v>
      </c>
      <c r="H3702" s="5" t="s">
        <v>20</v>
      </c>
      <c r="I3702" s="5" t="s">
        <v>8805</v>
      </c>
      <c r="J3702" s="12" t="str">
        <f>HYPERLINK("https://www.boe.es/gazeta/dias/1804/03/02/pdfs/GMD-1804-18.pdf#page=10","Abrir facsímil")</f>
        <v>Abrir facsímil</v>
      </c>
      <c r="K3702" s="15" t="s">
        <v>22</v>
      </c>
    </row>
    <row r="3703" spans="1:11" ht="42" customHeight="1">
      <c r="A3703" s="4" t="s">
        <v>8806</v>
      </c>
      <c r="B3703" s="5" t="s">
        <v>8807</v>
      </c>
      <c r="C3703" s="5" t="s">
        <v>27</v>
      </c>
      <c r="D3703" s="5" t="s">
        <v>28</v>
      </c>
      <c r="E3703" s="5" t="s">
        <v>199</v>
      </c>
      <c r="F3703" s="9">
        <v>46</v>
      </c>
      <c r="G3703" s="9">
        <v>511</v>
      </c>
      <c r="H3703" s="5" t="s">
        <v>20</v>
      </c>
      <c r="I3703" s="5" t="s">
        <v>8808</v>
      </c>
      <c r="J3703" s="12" t="str">
        <f>HYPERLINK("https://www.boe.es/gazeta/dias/1804/06/08/pdfs/GMD-1804-46.pdf#page=9","Abrir facsímil")</f>
        <v>Abrir facsímil</v>
      </c>
      <c r="K3703" s="15" t="s">
        <v>22</v>
      </c>
    </row>
    <row r="3704" spans="1:11" ht="42" customHeight="1">
      <c r="A3704" s="4" t="s">
        <v>8809</v>
      </c>
      <c r="B3704" s="5" t="s">
        <v>8810</v>
      </c>
      <c r="C3704" s="5" t="s">
        <v>85</v>
      </c>
      <c r="D3704" s="5" t="s">
        <v>86</v>
      </c>
      <c r="E3704" s="5" t="s">
        <v>230</v>
      </c>
      <c r="F3704" s="9">
        <v>26</v>
      </c>
      <c r="G3704" s="9">
        <v>291</v>
      </c>
      <c r="H3704" s="5" t="s">
        <v>20</v>
      </c>
      <c r="I3704" s="5" t="s">
        <v>8811</v>
      </c>
      <c r="J3704" s="12" t="str">
        <f>HYPERLINK("https://www.boe.es/gazeta/dias/1804/03/30/pdfs/GMD-1804-26.pdf#page=5","Abrir facsímil")</f>
        <v>Abrir facsímil</v>
      </c>
      <c r="K3704" s="15" t="s">
        <v>22</v>
      </c>
    </row>
    <row r="3705" spans="1:11" ht="42" customHeight="1">
      <c r="A3705" s="4" t="s">
        <v>8809</v>
      </c>
      <c r="B3705" s="5" t="s">
        <v>8810</v>
      </c>
      <c r="C3705" s="5" t="s">
        <v>57</v>
      </c>
      <c r="D3705" s="5" t="s">
        <v>58</v>
      </c>
      <c r="E3705" s="5" t="s">
        <v>19</v>
      </c>
      <c r="F3705" s="9">
        <v>60</v>
      </c>
      <c r="G3705" s="9">
        <v>662</v>
      </c>
      <c r="H3705" s="5" t="s">
        <v>20</v>
      </c>
      <c r="I3705" s="5" t="s">
        <v>8812</v>
      </c>
      <c r="J3705" s="12" t="str">
        <f>HYPERLINK("https://www.boe.es/gazeta/dias/1804/07/27/pdfs/GMD-1804-60.pdf#page=4","Abrir facsímil")</f>
        <v>Abrir facsímil</v>
      </c>
      <c r="K3705" s="15" t="s">
        <v>22</v>
      </c>
    </row>
    <row r="3706" spans="1:11" ht="42" customHeight="1">
      <c r="A3706" s="4" t="s">
        <v>8809</v>
      </c>
      <c r="B3706" s="5" t="s">
        <v>8810</v>
      </c>
      <c r="C3706" s="5" t="s">
        <v>57</v>
      </c>
      <c r="D3706" s="5" t="s">
        <v>58</v>
      </c>
      <c r="E3706" s="5" t="s">
        <v>587</v>
      </c>
      <c r="F3706" s="9">
        <v>62</v>
      </c>
      <c r="G3706" s="9">
        <v>684</v>
      </c>
      <c r="H3706" s="5" t="s">
        <v>20</v>
      </c>
      <c r="I3706" s="5" t="s">
        <v>8813</v>
      </c>
      <c r="J3706" s="12" t="str">
        <f>HYPERLINK("https://www.boe.es/gazeta/dias/1804/08/03/pdfs/GMD-1804-62.pdf#page=6","Abrir facsímil")</f>
        <v>Abrir facsímil</v>
      </c>
      <c r="K3706" s="15" t="s">
        <v>22</v>
      </c>
    </row>
    <row r="3707" spans="1:11" ht="42" customHeight="1">
      <c r="A3707" s="4" t="s">
        <v>8809</v>
      </c>
      <c r="B3707" s="5" t="s">
        <v>8810</v>
      </c>
      <c r="C3707" s="5" t="s">
        <v>57</v>
      </c>
      <c r="D3707" s="5" t="s">
        <v>58</v>
      </c>
      <c r="E3707" s="5" t="s">
        <v>147</v>
      </c>
      <c r="F3707" s="9">
        <v>77</v>
      </c>
      <c r="G3707" s="9">
        <v>855</v>
      </c>
      <c r="H3707" s="5" t="s">
        <v>20</v>
      </c>
      <c r="I3707" s="5" t="s">
        <v>8814</v>
      </c>
      <c r="J3707" s="12" t="str">
        <f>HYPERLINK("https://www.boe.es/gazeta/dias/1804/09/25/pdfs/GMD-1804-77.pdf#page=5","Abrir facsímil")</f>
        <v>Abrir facsímil</v>
      </c>
      <c r="K3707" s="15" t="s">
        <v>22</v>
      </c>
    </row>
    <row r="3708" spans="1:11" ht="42" customHeight="1">
      <c r="A3708" s="4" t="s">
        <v>8809</v>
      </c>
      <c r="B3708" s="5" t="s">
        <v>8810</v>
      </c>
      <c r="C3708" s="5" t="s">
        <v>27</v>
      </c>
      <c r="D3708" s="5" t="s">
        <v>28</v>
      </c>
      <c r="E3708" s="5" t="s">
        <v>950</v>
      </c>
      <c r="F3708" s="9">
        <v>90</v>
      </c>
      <c r="G3708" s="9">
        <v>996</v>
      </c>
      <c r="H3708" s="5" t="s">
        <v>20</v>
      </c>
      <c r="I3708" s="5" t="s">
        <v>8815</v>
      </c>
      <c r="J3708" s="12" t="str">
        <f>HYPERLINK("https://www.boe.es/gazeta/dias/1804/11/09/pdfs/GMD-1804-90.pdf#page=4","Abrir facsímil")</f>
        <v>Abrir facsímil</v>
      </c>
      <c r="K3708" s="15" t="s">
        <v>22</v>
      </c>
    </row>
    <row r="3709" spans="1:11" ht="42" customHeight="1">
      <c r="A3709" s="4" t="s">
        <v>8816</v>
      </c>
      <c r="B3709" s="5" t="s">
        <v>8817</v>
      </c>
      <c r="C3709" s="5" t="s">
        <v>27</v>
      </c>
      <c r="D3709" s="5" t="s">
        <v>28</v>
      </c>
      <c r="E3709" s="5" t="s">
        <v>272</v>
      </c>
      <c r="F3709" s="9">
        <v>30</v>
      </c>
      <c r="G3709" s="9">
        <v>332</v>
      </c>
      <c r="H3709" s="5" t="s">
        <v>20</v>
      </c>
      <c r="I3709" s="5" t="s">
        <v>8818</v>
      </c>
      <c r="J3709" s="12" t="str">
        <f>HYPERLINK("https://www.boe.es/gazeta/dias/1804/04/13/pdfs/GMD-1804-30.pdf#page=10","Abrir facsímil")</f>
        <v>Abrir facsímil</v>
      </c>
      <c r="K3709" s="15" t="s">
        <v>22</v>
      </c>
    </row>
    <row r="3710" spans="1:11" ht="42" customHeight="1">
      <c r="A3710" s="4" t="s">
        <v>8819</v>
      </c>
      <c r="B3710" s="5" t="s">
        <v>8820</v>
      </c>
      <c r="C3710" s="5" t="s">
        <v>27</v>
      </c>
      <c r="D3710" s="5" t="s">
        <v>28</v>
      </c>
      <c r="E3710" s="5" t="s">
        <v>709</v>
      </c>
      <c r="F3710" s="9">
        <v>82</v>
      </c>
      <c r="G3710" s="9">
        <v>907</v>
      </c>
      <c r="H3710" s="5" t="s">
        <v>20</v>
      </c>
      <c r="I3710" s="5" t="s">
        <v>8821</v>
      </c>
      <c r="J3710" s="12" t="str">
        <f>HYPERLINK("https://www.boe.es/gazeta/dias/1804/10/12/pdfs/GMD-1804-82.pdf#page=9","Abrir facsímil")</f>
        <v>Abrir facsímil</v>
      </c>
      <c r="K3710" s="15" t="s">
        <v>22</v>
      </c>
    </row>
    <row r="3711" spans="1:11" ht="42" customHeight="1">
      <c r="A3711" s="4" t="s">
        <v>8822</v>
      </c>
      <c r="B3711" s="5" t="s">
        <v>8822</v>
      </c>
      <c r="C3711" s="5" t="s">
        <v>27</v>
      </c>
      <c r="D3711" s="5" t="s">
        <v>28</v>
      </c>
      <c r="E3711" s="5" t="s">
        <v>308</v>
      </c>
      <c r="F3711" s="9">
        <v>96</v>
      </c>
      <c r="G3711" s="9">
        <v>1068</v>
      </c>
      <c r="H3711" s="5" t="s">
        <v>20</v>
      </c>
      <c r="I3711" s="5" t="s">
        <v>8823</v>
      </c>
      <c r="J3711" s="12" t="str">
        <f>HYPERLINK("https://www.boe.es/gazeta/dias/1804/11/30/pdfs/GMD-1804-96.pdf#page=8","Abrir facsímil")</f>
        <v>Abrir facsímil</v>
      </c>
      <c r="K3711" s="15" t="s">
        <v>22</v>
      </c>
    </row>
    <row r="3712" spans="1:11" ht="42" customHeight="1">
      <c r="A3712" s="4" t="s">
        <v>8824</v>
      </c>
      <c r="B3712" s="5" t="s">
        <v>8824</v>
      </c>
      <c r="C3712" s="5" t="s">
        <v>27</v>
      </c>
      <c r="D3712" s="5" t="s">
        <v>28</v>
      </c>
      <c r="E3712" s="5" t="s">
        <v>50</v>
      </c>
      <c r="F3712" s="9">
        <v>93</v>
      </c>
      <c r="G3712" s="9">
        <v>1030</v>
      </c>
      <c r="H3712" s="5" t="s">
        <v>20</v>
      </c>
      <c r="I3712" s="5" t="s">
        <v>8825</v>
      </c>
      <c r="J3712" s="12" t="str">
        <f>HYPERLINK("https://www.boe.es/gazeta/dias/1804/11/20/pdfs/GMD-1804-93.pdf#page=6","Abrir facsímil")</f>
        <v>Abrir facsímil</v>
      </c>
      <c r="K3712" s="15" t="s">
        <v>22</v>
      </c>
    </row>
    <row r="3713" spans="1:11" ht="42" customHeight="1">
      <c r="A3713" s="4" t="s">
        <v>8826</v>
      </c>
      <c r="B3713" s="5" t="s">
        <v>8826</v>
      </c>
      <c r="C3713" s="5" t="s">
        <v>27</v>
      </c>
      <c r="D3713" s="5" t="s">
        <v>28</v>
      </c>
      <c r="E3713" s="5" t="s">
        <v>350</v>
      </c>
      <c r="F3713" s="9">
        <v>19</v>
      </c>
      <c r="G3713" s="9">
        <v>210</v>
      </c>
      <c r="H3713" s="5" t="s">
        <v>20</v>
      </c>
      <c r="I3713" s="5" t="s">
        <v>8827</v>
      </c>
      <c r="J3713" s="12" t="str">
        <f>HYPERLINK("https://www.boe.es/gazeta/dias/1804/03/06/pdfs/GMD-1804-19.pdf#page=10","Abrir facsímil")</f>
        <v>Abrir facsímil</v>
      </c>
      <c r="K3713" s="15" t="s">
        <v>22</v>
      </c>
    </row>
    <row r="3714" spans="1:11" ht="42" customHeight="1">
      <c r="A3714" s="4" t="s">
        <v>8826</v>
      </c>
      <c r="B3714" s="5" t="s">
        <v>8826</v>
      </c>
      <c r="C3714" s="5" t="s">
        <v>27</v>
      </c>
      <c r="D3714" s="5" t="s">
        <v>28</v>
      </c>
      <c r="E3714" s="5" t="s">
        <v>497</v>
      </c>
      <c r="F3714" s="9">
        <v>25</v>
      </c>
      <c r="G3714" s="9">
        <v>285</v>
      </c>
      <c r="H3714" s="5" t="s">
        <v>20</v>
      </c>
      <c r="I3714" s="5" t="s">
        <v>8828</v>
      </c>
      <c r="J3714" s="12" t="str">
        <f>HYPERLINK("https://www.boe.es/gazeta/dias/1804/03/27/pdfs/GMD-1804-25.pdf#page=7","Abrir facsímil")</f>
        <v>Abrir facsímil</v>
      </c>
      <c r="K3714" s="15" t="s">
        <v>22</v>
      </c>
    </row>
    <row r="3715" spans="1:11" ht="42" customHeight="1">
      <c r="A3715" s="4" t="s">
        <v>8829</v>
      </c>
      <c r="B3715" s="5" t="s">
        <v>8829</v>
      </c>
      <c r="C3715" s="5" t="s">
        <v>17</v>
      </c>
      <c r="D3715" s="5" t="s">
        <v>18</v>
      </c>
      <c r="E3715" s="5" t="s">
        <v>50</v>
      </c>
      <c r="F3715" s="9">
        <v>93</v>
      </c>
      <c r="G3715" s="9">
        <v>1030</v>
      </c>
      <c r="H3715" s="5" t="s">
        <v>20</v>
      </c>
      <c r="I3715" s="5" t="s">
        <v>8830</v>
      </c>
      <c r="J3715" s="12" t="str">
        <f>HYPERLINK("https://www.boe.es/gazeta/dias/1804/11/20/pdfs/GMD-1804-93.pdf#page=6","Abrir facsímil")</f>
        <v>Abrir facsímil</v>
      </c>
      <c r="K3715" s="15" t="s">
        <v>22</v>
      </c>
    </row>
    <row r="3716" spans="1:11" ht="42" customHeight="1">
      <c r="A3716" s="4" t="s">
        <v>8831</v>
      </c>
      <c r="B3716" s="5" t="s">
        <v>8831</v>
      </c>
      <c r="C3716" s="5" t="s">
        <v>198</v>
      </c>
      <c r="D3716" s="5" t="s">
        <v>66</v>
      </c>
      <c r="E3716" s="5" t="s">
        <v>191</v>
      </c>
      <c r="F3716" s="9">
        <v>101</v>
      </c>
      <c r="G3716" s="9">
        <v>1130</v>
      </c>
      <c r="H3716" s="5" t="s">
        <v>20</v>
      </c>
      <c r="I3716" s="5" t="s">
        <v>8832</v>
      </c>
      <c r="J3716" s="12" t="str">
        <f>HYPERLINK("https://www.boe.es/gazeta/dias/1804/12/18/pdfs/GMD-1804-101.pdf#page=10","Abrir facsímil")</f>
        <v>Abrir facsímil</v>
      </c>
      <c r="K3716" s="15" t="s">
        <v>22</v>
      </c>
    </row>
    <row r="3717" spans="1:11" ht="42" customHeight="1">
      <c r="A3717" s="4" t="s">
        <v>8833</v>
      </c>
      <c r="B3717" s="5" t="s">
        <v>8834</v>
      </c>
      <c r="C3717" s="5" t="s">
        <v>27</v>
      </c>
      <c r="D3717" s="5" t="s">
        <v>28</v>
      </c>
      <c r="E3717" s="5" t="s">
        <v>258</v>
      </c>
      <c r="F3717" s="9">
        <v>14</v>
      </c>
      <c r="G3717" s="9">
        <v>153</v>
      </c>
      <c r="H3717" s="5" t="s">
        <v>20</v>
      </c>
      <c r="I3717" s="5" t="s">
        <v>8835</v>
      </c>
      <c r="J3717" s="12" t="str">
        <f>HYPERLINK("https://www.boe.es/gazeta/dias/1804/02/17/pdfs/GMD-1804-14.pdf#page=9","Abrir facsímil")</f>
        <v>Abrir facsímil</v>
      </c>
      <c r="K3717" s="15" t="s">
        <v>22</v>
      </c>
    </row>
    <row r="3718" spans="1:11" ht="42" customHeight="1">
      <c r="A3718" s="4" t="s">
        <v>8836</v>
      </c>
      <c r="B3718" s="5" t="s">
        <v>8837</v>
      </c>
      <c r="C3718" s="5" t="s">
        <v>17</v>
      </c>
      <c r="D3718" s="5" t="s">
        <v>18</v>
      </c>
      <c r="E3718" s="5" t="s">
        <v>378</v>
      </c>
      <c r="F3718" s="9">
        <v>65</v>
      </c>
      <c r="G3718" s="9">
        <v>732</v>
      </c>
      <c r="H3718" s="5" t="s">
        <v>20</v>
      </c>
      <c r="I3718" s="5" t="s">
        <v>8838</v>
      </c>
      <c r="J3718" s="12" t="str">
        <f>HYPERLINK("https://www.boe.es/gazeta/dias/1804/08/14/pdfs/GMD-1804-65.pdf#page=10","Abrir facsímil")</f>
        <v>Abrir facsímil</v>
      </c>
      <c r="K3718" s="15" t="s">
        <v>22</v>
      </c>
    </row>
    <row r="3719" spans="1:11" ht="42" customHeight="1">
      <c r="A3719" s="4" t="s">
        <v>8839</v>
      </c>
      <c r="B3719" s="5" t="s">
        <v>8840</v>
      </c>
      <c r="C3719" s="5" t="s">
        <v>85</v>
      </c>
      <c r="D3719" s="5" t="s">
        <v>86</v>
      </c>
      <c r="E3719" s="5" t="s">
        <v>453</v>
      </c>
      <c r="F3719" s="9">
        <v>33</v>
      </c>
      <c r="G3719" s="9">
        <v>370</v>
      </c>
      <c r="H3719" s="5" t="s">
        <v>20</v>
      </c>
      <c r="I3719" s="5" t="s">
        <v>8841</v>
      </c>
      <c r="J3719" s="12" t="str">
        <f>HYPERLINK("https://www.boe.es/gazeta/dias/1804/04/24/pdfs/GMD-1804-33.pdf#page=12","Abrir facsímil")</f>
        <v>Abrir facsímil</v>
      </c>
      <c r="K3719" s="15" t="s">
        <v>22</v>
      </c>
    </row>
    <row r="3720" spans="1:11" ht="42" customHeight="1">
      <c r="A3720" s="4" t="s">
        <v>8842</v>
      </c>
      <c r="B3720" s="5" t="s">
        <v>8843</v>
      </c>
      <c r="C3720" s="5" t="s">
        <v>85</v>
      </c>
      <c r="D3720" s="5" t="s">
        <v>86</v>
      </c>
      <c r="E3720" s="5" t="s">
        <v>398</v>
      </c>
      <c r="F3720" s="9">
        <v>22</v>
      </c>
      <c r="G3720" s="9">
        <v>248</v>
      </c>
      <c r="H3720" s="5" t="s">
        <v>20</v>
      </c>
      <c r="I3720" s="5" t="s">
        <v>8844</v>
      </c>
      <c r="J3720" s="12" t="str">
        <f>HYPERLINK("https://www.boe.es/gazeta/dias/1804/03/16/pdfs/GMD-1804-22.pdf#page=12","Abrir facsímil")</f>
        <v>Abrir facsímil</v>
      </c>
      <c r="K3720" s="15" t="s">
        <v>22</v>
      </c>
    </row>
    <row r="3721" spans="1:11" ht="42" customHeight="1">
      <c r="A3721" s="4" t="s">
        <v>8845</v>
      </c>
      <c r="B3721" s="5" t="s">
        <v>8846</v>
      </c>
      <c r="C3721" s="5" t="s">
        <v>17</v>
      </c>
      <c r="D3721" s="5" t="s">
        <v>18</v>
      </c>
      <c r="E3721" s="5" t="s">
        <v>302</v>
      </c>
      <c r="F3721" s="9">
        <v>3</v>
      </c>
      <c r="G3721" s="9">
        <v>27</v>
      </c>
      <c r="H3721" s="5" t="s">
        <v>20</v>
      </c>
      <c r="I3721" s="5" t="s">
        <v>8847</v>
      </c>
      <c r="J3721" s="12" t="str">
        <f>HYPERLINK("https://www.boe.es/gazeta/dias/1804/01/10/pdfs/GMD-1804-3.pdf#page=7","Abrir facsímil")</f>
        <v>Abrir facsímil</v>
      </c>
      <c r="K3721" s="15" t="s">
        <v>22</v>
      </c>
    </row>
    <row r="3722" spans="1:11" ht="42" customHeight="1">
      <c r="A3722" s="4" t="s">
        <v>8848</v>
      </c>
      <c r="B3722" s="5" t="s">
        <v>8849</v>
      </c>
      <c r="C3722" s="5" t="s">
        <v>27</v>
      </c>
      <c r="D3722" s="5" t="s">
        <v>28</v>
      </c>
      <c r="E3722" s="5" t="s">
        <v>637</v>
      </c>
      <c r="F3722" s="9">
        <v>74</v>
      </c>
      <c r="G3722" s="9">
        <v>831</v>
      </c>
      <c r="H3722" s="5" t="s">
        <v>20</v>
      </c>
      <c r="I3722" s="5" t="s">
        <v>8850</v>
      </c>
      <c r="J3722" s="12" t="str">
        <f>HYPERLINK("https://www.boe.es/gazeta/dias/1804/09/14/pdfs/GMD-1804-74.pdf#page=9","Abrir facsímil")</f>
        <v>Abrir facsímil</v>
      </c>
      <c r="K3722" s="15" t="s">
        <v>22</v>
      </c>
    </row>
    <row r="3723" spans="1:11" ht="42" customHeight="1">
      <c r="A3723" s="4" t="s">
        <v>8851</v>
      </c>
      <c r="B3723" s="5" t="s">
        <v>8852</v>
      </c>
      <c r="C3723" s="5" t="s">
        <v>57</v>
      </c>
      <c r="D3723" s="5" t="s">
        <v>58</v>
      </c>
      <c r="E3723" s="5" t="s">
        <v>136</v>
      </c>
      <c r="F3723" s="9">
        <v>23</v>
      </c>
      <c r="G3723" s="9">
        <v>259</v>
      </c>
      <c r="H3723" s="5" t="s">
        <v>20</v>
      </c>
      <c r="I3723" s="5" t="s">
        <v>8853</v>
      </c>
      <c r="J3723" s="12" t="str">
        <f>HYPERLINK("https://www.boe.es/gazeta/dias/1804/03/20/pdfs/GMD-1804-23.pdf#page=5","Abrir facsímil")</f>
        <v>Abrir facsímil</v>
      </c>
      <c r="K3723" s="15" t="s">
        <v>22</v>
      </c>
    </row>
    <row r="3724" spans="1:11" ht="42" customHeight="1">
      <c r="A3724" s="4" t="s">
        <v>8854</v>
      </c>
      <c r="B3724" s="5" t="s">
        <v>8855</v>
      </c>
      <c r="C3724" s="5" t="s">
        <v>65</v>
      </c>
      <c r="D3724" s="5" t="s">
        <v>66</v>
      </c>
      <c r="E3724" s="5" t="s">
        <v>950</v>
      </c>
      <c r="F3724" s="9">
        <v>90</v>
      </c>
      <c r="G3724" s="9">
        <v>998</v>
      </c>
      <c r="H3724" s="5" t="s">
        <v>20</v>
      </c>
      <c r="I3724" s="5" t="s">
        <v>8856</v>
      </c>
      <c r="J3724" s="12" t="str">
        <f>HYPERLINK("https://www.boe.es/gazeta/dias/1804/11/09/pdfs/GMD-1804-90.pdf#page=6","Abrir facsímil")</f>
        <v>Abrir facsímil</v>
      </c>
      <c r="K3724" s="15" t="s">
        <v>22</v>
      </c>
    </row>
    <row r="3725" spans="1:11" ht="42" customHeight="1">
      <c r="A3725" s="4" t="s">
        <v>8857</v>
      </c>
      <c r="B3725" s="5" t="s">
        <v>8858</v>
      </c>
      <c r="C3725" s="5" t="s">
        <v>17</v>
      </c>
      <c r="D3725" s="5" t="s">
        <v>18</v>
      </c>
      <c r="E3725" s="5" t="s">
        <v>37</v>
      </c>
      <c r="F3725" s="9">
        <v>29</v>
      </c>
      <c r="G3725" s="9">
        <v>318</v>
      </c>
      <c r="H3725" s="5" t="s">
        <v>20</v>
      </c>
      <c r="I3725" s="5" t="s">
        <v>8859</v>
      </c>
      <c r="J3725" s="12" t="str">
        <f>HYPERLINK("https://www.boe.es/gazeta/dias/1804/04/10/pdfs/GMD-1804-29.pdf#page=8","Abrir facsímil")</f>
        <v>Abrir facsímil</v>
      </c>
      <c r="K3725" s="15" t="s">
        <v>22</v>
      </c>
    </row>
    <row r="3726" spans="1:11" ht="42" customHeight="1">
      <c r="A3726" s="4" t="s">
        <v>8860</v>
      </c>
      <c r="B3726" s="5" t="s">
        <v>8861</v>
      </c>
      <c r="C3726" s="5" t="s">
        <v>27</v>
      </c>
      <c r="D3726" s="5" t="s">
        <v>28</v>
      </c>
      <c r="E3726" s="5" t="s">
        <v>490</v>
      </c>
      <c r="F3726" s="9">
        <v>100</v>
      </c>
      <c r="G3726" s="9">
        <v>1119</v>
      </c>
      <c r="H3726" s="5" t="s">
        <v>20</v>
      </c>
      <c r="I3726" s="5" t="s">
        <v>8862</v>
      </c>
      <c r="J3726" s="12" t="str">
        <f>HYPERLINK("https://www.boe.es/gazeta/dias/1804/12/14/pdfs/GMD-1804-100.pdf#page=11","Abrir facsímil")</f>
        <v>Abrir facsímil</v>
      </c>
      <c r="K3726" s="15" t="s">
        <v>22</v>
      </c>
    </row>
    <row r="3727" spans="1:11" ht="42" customHeight="1">
      <c r="A3727" s="4" t="s">
        <v>8863</v>
      </c>
      <c r="B3727" s="5" t="s">
        <v>8864</v>
      </c>
      <c r="C3727" s="5" t="s">
        <v>27</v>
      </c>
      <c r="D3727" s="5" t="s">
        <v>28</v>
      </c>
      <c r="E3727" s="5" t="s">
        <v>206</v>
      </c>
      <c r="F3727" s="9">
        <v>44</v>
      </c>
      <c r="G3727" s="9">
        <v>489</v>
      </c>
      <c r="H3727" s="5" t="s">
        <v>20</v>
      </c>
      <c r="I3727" s="5" t="s">
        <v>8865</v>
      </c>
      <c r="J3727" s="12" t="str">
        <f>HYPERLINK("https://www.boe.es/gazeta/dias/1804/06/01/pdfs/GMD-1804-44.pdf#page=7","Abrir facsímil")</f>
        <v>Abrir facsímil</v>
      </c>
      <c r="K3727" s="15" t="s">
        <v>22</v>
      </c>
    </row>
    <row r="3728" spans="1:11" ht="42" customHeight="1">
      <c r="A3728" s="4" t="s">
        <v>8866</v>
      </c>
      <c r="B3728" s="5" t="s">
        <v>8867</v>
      </c>
      <c r="C3728" s="5" t="s">
        <v>17</v>
      </c>
      <c r="D3728" s="5" t="s">
        <v>18</v>
      </c>
      <c r="E3728" s="5" t="s">
        <v>800</v>
      </c>
      <c r="F3728" s="9">
        <v>45</v>
      </c>
      <c r="G3728" s="9">
        <v>502</v>
      </c>
      <c r="H3728" s="5" t="s">
        <v>20</v>
      </c>
      <c r="I3728" s="5" t="s">
        <v>8868</v>
      </c>
      <c r="J3728" s="12" t="str">
        <f>HYPERLINK("https://www.boe.es/gazeta/dias/1804/06/05/pdfs/GMD-1804-45.pdf#page=12","Abrir facsímil")</f>
        <v>Abrir facsímil</v>
      </c>
      <c r="K3728" s="15" t="s">
        <v>22</v>
      </c>
    </row>
    <row r="3729" spans="1:11" ht="42" customHeight="1">
      <c r="A3729" s="4" t="s">
        <v>8869</v>
      </c>
      <c r="B3729" s="5" t="s">
        <v>8870</v>
      </c>
      <c r="C3729" s="5" t="s">
        <v>65</v>
      </c>
      <c r="D3729" s="5" t="s">
        <v>66</v>
      </c>
      <c r="E3729" s="5" t="s">
        <v>320</v>
      </c>
      <c r="F3729" s="9">
        <v>31</v>
      </c>
      <c r="G3729" s="9">
        <v>343</v>
      </c>
      <c r="H3729" s="5" t="s">
        <v>20</v>
      </c>
      <c r="I3729" s="5" t="s">
        <v>8871</v>
      </c>
      <c r="J3729" s="12" t="str">
        <f>HYPERLINK("https://www.boe.es/gazeta/dias/1804/04/17/pdfs/GMD-1804-31.pdf#page=9","Abrir facsímil")</f>
        <v>Abrir facsímil</v>
      </c>
      <c r="K3729" s="15" t="s">
        <v>22</v>
      </c>
    </row>
    <row r="3730" spans="1:11" ht="42" customHeight="1">
      <c r="A3730" s="4" t="s">
        <v>8872</v>
      </c>
      <c r="B3730" s="5" t="s">
        <v>8873</v>
      </c>
      <c r="C3730" s="5" t="s">
        <v>198</v>
      </c>
      <c r="D3730" s="5" t="s">
        <v>66</v>
      </c>
      <c r="E3730" s="5" t="s">
        <v>666</v>
      </c>
      <c r="F3730" s="9">
        <v>57</v>
      </c>
      <c r="G3730" s="9">
        <v>636</v>
      </c>
      <c r="H3730" s="5" t="s">
        <v>20</v>
      </c>
      <c r="I3730" s="5" t="s">
        <v>8874</v>
      </c>
      <c r="J3730" s="12" t="str">
        <f>HYPERLINK("https://www.boe.es/gazeta/dias/1804/07/17/pdfs/GMD-C-1804-57.pdf#page=2","Abrir facsímil")</f>
        <v>Abrir facsímil</v>
      </c>
      <c r="K3730" s="15" t="s">
        <v>22</v>
      </c>
    </row>
    <row r="3731" spans="1:11" ht="42" customHeight="1">
      <c r="A3731" s="4" t="s">
        <v>8875</v>
      </c>
      <c r="B3731" s="5" t="s">
        <v>8876</v>
      </c>
      <c r="C3731" s="5" t="s">
        <v>17</v>
      </c>
      <c r="D3731" s="5" t="s">
        <v>18</v>
      </c>
      <c r="E3731" s="5" t="s">
        <v>59</v>
      </c>
      <c r="F3731" s="9">
        <v>55</v>
      </c>
      <c r="G3731" s="9">
        <v>612</v>
      </c>
      <c r="H3731" s="5" t="s">
        <v>20</v>
      </c>
      <c r="I3731" s="5" t="s">
        <v>8877</v>
      </c>
      <c r="J3731" s="12" t="str">
        <f>HYPERLINK("https://www.boe.es/gazeta/dias/1804/07/10/pdfs/GMD-1804-55.pdf#page=10","Abrir facsímil")</f>
        <v>Abrir facsímil</v>
      </c>
      <c r="K3731" s="15" t="s">
        <v>22</v>
      </c>
    </row>
    <row r="3732" spans="1:11" ht="42" customHeight="1">
      <c r="A3732" s="4" t="s">
        <v>8878</v>
      </c>
      <c r="B3732" s="5" t="s">
        <v>8879</v>
      </c>
      <c r="C3732" s="5" t="s">
        <v>27</v>
      </c>
      <c r="D3732" s="5" t="s">
        <v>28</v>
      </c>
      <c r="E3732" s="5" t="s">
        <v>709</v>
      </c>
      <c r="F3732" s="9">
        <v>82</v>
      </c>
      <c r="G3732" s="9">
        <v>907</v>
      </c>
      <c r="H3732" s="5" t="s">
        <v>20</v>
      </c>
      <c r="I3732" s="5" t="s">
        <v>8880</v>
      </c>
      <c r="J3732" s="12" t="str">
        <f>HYPERLINK("https://www.boe.es/gazeta/dias/1804/10/12/pdfs/GMD-1804-82.pdf#page=9","Abrir facsímil")</f>
        <v>Abrir facsímil</v>
      </c>
      <c r="K3732" s="15" t="s">
        <v>22</v>
      </c>
    </row>
    <row r="3733" spans="1:11" ht="42" customHeight="1">
      <c r="A3733" s="4" t="s">
        <v>8881</v>
      </c>
      <c r="B3733" s="5" t="s">
        <v>8882</v>
      </c>
      <c r="C3733" s="5" t="s">
        <v>27</v>
      </c>
      <c r="D3733" s="5" t="s">
        <v>28</v>
      </c>
      <c r="E3733" s="5" t="s">
        <v>143</v>
      </c>
      <c r="F3733" s="9">
        <v>87</v>
      </c>
      <c r="G3733" s="9">
        <v>963</v>
      </c>
      <c r="H3733" s="5" t="s">
        <v>20</v>
      </c>
      <c r="I3733" s="5" t="s">
        <v>8883</v>
      </c>
      <c r="J3733" s="12" t="str">
        <f>HYPERLINK("https://www.boe.es/gazeta/dias/1804/10/30/pdfs/GMD-1804-87.pdf#page=7","Abrir facsímil")</f>
        <v>Abrir facsímil</v>
      </c>
      <c r="K3733" s="15" t="s">
        <v>22</v>
      </c>
    </row>
    <row r="3734" spans="1:11" ht="42" customHeight="1">
      <c r="A3734" s="4" t="s">
        <v>8884</v>
      </c>
      <c r="B3734" s="5" t="s">
        <v>8885</v>
      </c>
      <c r="C3734" s="5" t="s">
        <v>17</v>
      </c>
      <c r="D3734" s="5" t="s">
        <v>18</v>
      </c>
      <c r="E3734" s="5" t="s">
        <v>67</v>
      </c>
      <c r="F3734" s="9">
        <v>59</v>
      </c>
      <c r="G3734" s="9">
        <v>653</v>
      </c>
      <c r="H3734" s="5" t="s">
        <v>20</v>
      </c>
      <c r="I3734" s="5" t="s">
        <v>8886</v>
      </c>
      <c r="J3734" s="12" t="str">
        <f>HYPERLINK("https://www.boe.es/gazeta/dias/1804/07/24/pdfs/GMD-1804-59.pdf#page=7","Abrir facsímil")</f>
        <v>Abrir facsímil</v>
      </c>
      <c r="K3734" s="15" t="s">
        <v>22</v>
      </c>
    </row>
    <row r="3735" spans="1:11" ht="42" customHeight="1">
      <c r="A3735" s="4" t="s">
        <v>8887</v>
      </c>
      <c r="B3735" s="5" t="s">
        <v>8888</v>
      </c>
      <c r="C3735" s="5" t="s">
        <v>198</v>
      </c>
      <c r="D3735" s="5" t="s">
        <v>66</v>
      </c>
      <c r="E3735" s="5" t="s">
        <v>398</v>
      </c>
      <c r="F3735" s="9">
        <v>22</v>
      </c>
      <c r="G3735" s="9">
        <v>250</v>
      </c>
      <c r="H3735" s="5" t="s">
        <v>20</v>
      </c>
      <c r="I3735" s="5" t="s">
        <v>8889</v>
      </c>
      <c r="J3735" s="12" t="str">
        <f>HYPERLINK("https://www.boe.es/gazeta/dias/1804/03/16/pdfs/GMD-C-1804-22.pdf#page=2","Abrir facsímil")</f>
        <v>Abrir facsímil</v>
      </c>
      <c r="K3735" s="15" t="s">
        <v>22</v>
      </c>
    </row>
    <row r="3736" spans="1:11" ht="42" customHeight="1">
      <c r="A3736" s="4" t="s">
        <v>8887</v>
      </c>
      <c r="B3736" s="5" t="s">
        <v>8888</v>
      </c>
      <c r="C3736" s="5" t="s">
        <v>198</v>
      </c>
      <c r="D3736" s="5" t="s">
        <v>66</v>
      </c>
      <c r="E3736" s="5" t="s">
        <v>155</v>
      </c>
      <c r="F3736" s="9">
        <v>92</v>
      </c>
      <c r="G3736" s="9">
        <v>1022</v>
      </c>
      <c r="H3736" s="5" t="s">
        <v>20</v>
      </c>
      <c r="I3736" s="5" t="s">
        <v>8890</v>
      </c>
      <c r="J3736" s="12" t="str">
        <f>HYPERLINK("https://www.boe.es/gazeta/dias/1804/11/16/pdfs/GMD-1804-92.pdf#page=10","Abrir facsímil")</f>
        <v>Abrir facsímil</v>
      </c>
      <c r="K3736" s="15" t="s">
        <v>22</v>
      </c>
    </row>
    <row r="3737" spans="1:11" ht="42" customHeight="1">
      <c r="A3737" s="4" t="s">
        <v>8891</v>
      </c>
      <c r="B3737" s="5" t="s">
        <v>8892</v>
      </c>
      <c r="C3737" s="5" t="s">
        <v>17</v>
      </c>
      <c r="D3737" s="5" t="s">
        <v>18</v>
      </c>
      <c r="E3737" s="5" t="s">
        <v>136</v>
      </c>
      <c r="F3737" s="9">
        <v>23</v>
      </c>
      <c r="G3737" s="9">
        <v>264</v>
      </c>
      <c r="H3737" s="5" t="s">
        <v>20</v>
      </c>
      <c r="I3737" s="5" t="s">
        <v>8893</v>
      </c>
      <c r="J3737" s="12" t="str">
        <f>HYPERLINK("https://www.boe.es/gazeta/dias/1804/03/20/pdfs/GMD-1804-23.pdf#page=10","Abrir facsímil")</f>
        <v>Abrir facsímil</v>
      </c>
      <c r="K3737" s="15" t="s">
        <v>22</v>
      </c>
    </row>
    <row r="3738" spans="1:11" ht="42" customHeight="1">
      <c r="A3738" s="4" t="s">
        <v>8894</v>
      </c>
      <c r="B3738" s="5" t="s">
        <v>8895</v>
      </c>
      <c r="C3738" s="5" t="s">
        <v>27</v>
      </c>
      <c r="D3738" s="5" t="s">
        <v>28</v>
      </c>
      <c r="E3738" s="5" t="s">
        <v>1449</v>
      </c>
      <c r="F3738" s="9">
        <v>8</v>
      </c>
      <c r="G3738" s="9">
        <v>86</v>
      </c>
      <c r="H3738" s="5" t="s">
        <v>20</v>
      </c>
      <c r="I3738" s="5" t="s">
        <v>8896</v>
      </c>
      <c r="J3738" s="12" t="str">
        <f>HYPERLINK("https://www.boe.es/gazeta/dias/1804/01/27/pdfs/GMD-1804-8.pdf#page=10","Abrir facsímil")</f>
        <v>Abrir facsímil</v>
      </c>
      <c r="K3738" s="15" t="s">
        <v>22</v>
      </c>
    </row>
    <row r="3739" spans="1:11" ht="42" customHeight="1">
      <c r="A3739" s="4" t="s">
        <v>8897</v>
      </c>
      <c r="B3739" s="5" t="s">
        <v>8898</v>
      </c>
      <c r="C3739" s="5" t="s">
        <v>17</v>
      </c>
      <c r="D3739" s="5" t="s">
        <v>18</v>
      </c>
      <c r="E3739" s="5" t="s">
        <v>67</v>
      </c>
      <c r="F3739" s="9">
        <v>59</v>
      </c>
      <c r="G3739" s="9">
        <v>653</v>
      </c>
      <c r="H3739" s="5" t="s">
        <v>20</v>
      </c>
      <c r="I3739" s="5" t="s">
        <v>8899</v>
      </c>
      <c r="J3739" s="12" t="str">
        <f>HYPERLINK("https://www.boe.es/gazeta/dias/1804/07/24/pdfs/GMD-1804-59.pdf#page=7","Abrir facsímil")</f>
        <v>Abrir facsímil</v>
      </c>
      <c r="K3739" s="15" t="s">
        <v>22</v>
      </c>
    </row>
    <row r="3740" spans="1:11" ht="42" customHeight="1">
      <c r="A3740" s="4" t="s">
        <v>8900</v>
      </c>
      <c r="B3740" s="5" t="s">
        <v>8901</v>
      </c>
      <c r="C3740" s="5" t="s">
        <v>198</v>
      </c>
      <c r="D3740" s="5" t="s">
        <v>66</v>
      </c>
      <c r="E3740" s="5" t="s">
        <v>23</v>
      </c>
      <c r="F3740" s="9">
        <v>91</v>
      </c>
      <c r="G3740" s="9">
        <v>1009</v>
      </c>
      <c r="H3740" s="5" t="s">
        <v>20</v>
      </c>
      <c r="I3740" s="5" t="s">
        <v>8902</v>
      </c>
      <c r="J3740" s="12" t="str">
        <f>HYPERLINK("https://www.boe.es/gazeta/dias/1804/11/13/pdfs/GMD-1804-91.pdf#page=9","Abrir facsímil")</f>
        <v>Abrir facsímil</v>
      </c>
      <c r="K3740" s="15" t="s">
        <v>22</v>
      </c>
    </row>
    <row r="3741" spans="1:11" ht="42" customHeight="1">
      <c r="A3741" s="4" t="s">
        <v>8903</v>
      </c>
      <c r="B3741" s="5" t="s">
        <v>8904</v>
      </c>
      <c r="C3741" s="5" t="s">
        <v>17</v>
      </c>
      <c r="D3741" s="5" t="s">
        <v>18</v>
      </c>
      <c r="E3741" s="5" t="s">
        <v>33</v>
      </c>
      <c r="F3741" s="9">
        <v>48</v>
      </c>
      <c r="G3741" s="9">
        <v>534</v>
      </c>
      <c r="H3741" s="5" t="s">
        <v>20</v>
      </c>
      <c r="I3741" s="5" t="s">
        <v>8905</v>
      </c>
      <c r="J3741" s="12" t="str">
        <f>HYPERLINK("https://www.boe.es/gazeta/dias/1804/06/15/pdfs/GMD-1804-48.pdf#page=4","Abrir facsímil")</f>
        <v>Abrir facsímil</v>
      </c>
      <c r="K3741" s="15" t="s">
        <v>22</v>
      </c>
    </row>
    <row r="3742" spans="1:11" ht="42" customHeight="1">
      <c r="A3742" s="4" t="s">
        <v>8903</v>
      </c>
      <c r="B3742" s="5" t="s">
        <v>8904</v>
      </c>
      <c r="C3742" s="5" t="s">
        <v>85</v>
      </c>
      <c r="D3742" s="5" t="s">
        <v>86</v>
      </c>
      <c r="E3742" s="5" t="s">
        <v>33</v>
      </c>
      <c r="F3742" s="9">
        <v>48</v>
      </c>
      <c r="G3742" s="9">
        <v>535</v>
      </c>
      <c r="H3742" s="5" t="s">
        <v>20</v>
      </c>
      <c r="I3742" s="5" t="s">
        <v>8906</v>
      </c>
      <c r="J3742" s="12" t="str">
        <f>HYPERLINK("https://www.boe.es/gazeta/dias/1804/06/15/pdfs/GMD-1804-48.pdf#page=5","Abrir facsímil")</f>
        <v>Abrir facsímil</v>
      </c>
      <c r="K3742" s="15" t="s">
        <v>22</v>
      </c>
    </row>
    <row r="3743" spans="1:11" ht="42" customHeight="1">
      <c r="A3743" s="4" t="s">
        <v>8907</v>
      </c>
      <c r="B3743" s="5" t="s">
        <v>8908</v>
      </c>
      <c r="C3743" s="5" t="s">
        <v>17</v>
      </c>
      <c r="D3743" s="5" t="s">
        <v>18</v>
      </c>
      <c r="E3743" s="5" t="s">
        <v>33</v>
      </c>
      <c r="F3743" s="9">
        <v>48</v>
      </c>
      <c r="G3743" s="9">
        <v>534</v>
      </c>
      <c r="H3743" s="5" t="s">
        <v>20</v>
      </c>
      <c r="I3743" s="5" t="s">
        <v>8909</v>
      </c>
      <c r="J3743" s="12" t="str">
        <f>HYPERLINK("https://www.boe.es/gazeta/dias/1804/06/15/pdfs/GMD-1804-48.pdf#page=4","Abrir facsímil")</f>
        <v>Abrir facsímil</v>
      </c>
      <c r="K3743" s="15" t="s">
        <v>22</v>
      </c>
    </row>
    <row r="3744" spans="1:11" ht="42" customHeight="1">
      <c r="A3744" s="4" t="s">
        <v>8907</v>
      </c>
      <c r="B3744" s="5" t="s">
        <v>8908</v>
      </c>
      <c r="C3744" s="5" t="s">
        <v>85</v>
      </c>
      <c r="D3744" s="5" t="s">
        <v>86</v>
      </c>
      <c r="E3744" s="5" t="s">
        <v>33</v>
      </c>
      <c r="F3744" s="9">
        <v>48</v>
      </c>
      <c r="G3744" s="9">
        <v>535</v>
      </c>
      <c r="H3744" s="5" t="s">
        <v>20</v>
      </c>
      <c r="I3744" s="5" t="s">
        <v>8910</v>
      </c>
      <c r="J3744" s="12" t="str">
        <f>HYPERLINK("https://www.boe.es/gazeta/dias/1804/06/15/pdfs/GMD-1804-48.pdf#page=5","Abrir facsímil")</f>
        <v>Abrir facsímil</v>
      </c>
      <c r="K3744" s="15" t="s">
        <v>22</v>
      </c>
    </row>
    <row r="3745" spans="1:11" ht="42" customHeight="1">
      <c r="A3745" s="4" t="s">
        <v>8911</v>
      </c>
      <c r="B3745" s="5" t="s">
        <v>8912</v>
      </c>
      <c r="C3745" s="5" t="s">
        <v>65</v>
      </c>
      <c r="D3745" s="5" t="s">
        <v>66</v>
      </c>
      <c r="E3745" s="5" t="s">
        <v>453</v>
      </c>
      <c r="F3745" s="9">
        <v>33</v>
      </c>
      <c r="G3745" s="9">
        <v>366</v>
      </c>
      <c r="H3745" s="5" t="s">
        <v>20</v>
      </c>
      <c r="I3745" s="5" t="s">
        <v>8913</v>
      </c>
      <c r="J3745" s="12" t="str">
        <f>HYPERLINK("https://www.boe.es/gazeta/dias/1804/04/24/pdfs/GMD-1804-33.pdf#page=8","Abrir facsímil")</f>
        <v>Abrir facsímil</v>
      </c>
      <c r="K3745" s="15" t="s">
        <v>22</v>
      </c>
    </row>
    <row r="3746" spans="1:11" ht="42" customHeight="1">
      <c r="A3746" s="4" t="s">
        <v>8914</v>
      </c>
      <c r="B3746" s="5" t="s">
        <v>8915</v>
      </c>
      <c r="C3746" s="5" t="s">
        <v>27</v>
      </c>
      <c r="D3746" s="5" t="s">
        <v>28</v>
      </c>
      <c r="E3746" s="5" t="s">
        <v>526</v>
      </c>
      <c r="F3746" s="9">
        <v>95</v>
      </c>
      <c r="G3746" s="9">
        <v>1056</v>
      </c>
      <c r="H3746" s="5" t="s">
        <v>20</v>
      </c>
      <c r="I3746" s="5" t="s">
        <v>8916</v>
      </c>
      <c r="J3746" s="12" t="str">
        <f>HYPERLINK("https://www.boe.es/gazeta/dias/1804/11/27/pdfs/GMD-1804-95.pdf#page=8","Abrir facsímil")</f>
        <v>Abrir facsímil</v>
      </c>
      <c r="K3746" s="15" t="s">
        <v>22</v>
      </c>
    </row>
    <row r="3747" spans="1:11" ht="42" customHeight="1">
      <c r="A3747" s="4" t="s">
        <v>8917</v>
      </c>
      <c r="B3747" s="5" t="s">
        <v>8918</v>
      </c>
      <c r="C3747" s="5" t="s">
        <v>17</v>
      </c>
      <c r="D3747" s="5" t="s">
        <v>18</v>
      </c>
      <c r="E3747" s="5" t="s">
        <v>421</v>
      </c>
      <c r="F3747" s="9">
        <v>47</v>
      </c>
      <c r="G3747" s="9">
        <v>528</v>
      </c>
      <c r="H3747" s="5" t="s">
        <v>20</v>
      </c>
      <c r="I3747" s="5" t="s">
        <v>8919</v>
      </c>
      <c r="J3747" s="12" t="str">
        <f>HYPERLINK("https://www.boe.es/gazeta/dias/1804/06/12/pdfs/GMD-1804-47.pdf#page=10","Abrir facsímil")</f>
        <v>Abrir facsímil</v>
      </c>
      <c r="K3747" s="15" t="s">
        <v>22</v>
      </c>
    </row>
    <row r="3748" spans="1:11" ht="42" customHeight="1">
      <c r="A3748" s="4" t="s">
        <v>8920</v>
      </c>
      <c r="B3748" s="5" t="s">
        <v>8921</v>
      </c>
      <c r="C3748" s="5" t="s">
        <v>65</v>
      </c>
      <c r="D3748" s="5" t="s">
        <v>66</v>
      </c>
      <c r="E3748" s="5" t="s">
        <v>515</v>
      </c>
      <c r="F3748" s="9">
        <v>102</v>
      </c>
      <c r="G3748" s="9">
        <v>1139</v>
      </c>
      <c r="H3748" s="5" t="s">
        <v>20</v>
      </c>
      <c r="I3748" s="5" t="s">
        <v>8922</v>
      </c>
      <c r="J3748" s="12" t="str">
        <f>HYPERLINK("https://www.boe.es/gazeta/dias/1804/12/21/pdfs/GMD-1804-102.pdf#page=7","Abrir facsímil")</f>
        <v>Abrir facsímil</v>
      </c>
      <c r="K3748" s="15" t="s">
        <v>22</v>
      </c>
    </row>
    <row r="3749" spans="1:11" ht="42" customHeight="1">
      <c r="A3749" s="4" t="s">
        <v>8923</v>
      </c>
      <c r="B3749" s="5" t="s">
        <v>8924</v>
      </c>
      <c r="C3749" s="5" t="s">
        <v>17</v>
      </c>
      <c r="D3749" s="5" t="s">
        <v>18</v>
      </c>
      <c r="E3749" s="5" t="s">
        <v>163</v>
      </c>
      <c r="F3749" s="9">
        <v>70</v>
      </c>
      <c r="G3749" s="9">
        <v>783</v>
      </c>
      <c r="H3749" s="5" t="s">
        <v>20</v>
      </c>
      <c r="I3749" s="5" t="s">
        <v>8925</v>
      </c>
      <c r="J3749" s="12" t="str">
        <f>HYPERLINK("https://www.boe.es/gazeta/dias/1804/08/31/pdfs/GMD-1804-70.pdf#page=5","Abrir facsímil")</f>
        <v>Abrir facsímil</v>
      </c>
      <c r="K3749" s="15" t="s">
        <v>22</v>
      </c>
    </row>
    <row r="3750" spans="1:11" ht="42" customHeight="1">
      <c r="A3750" s="4" t="s">
        <v>8926</v>
      </c>
      <c r="B3750" s="5" t="s">
        <v>8927</v>
      </c>
      <c r="C3750" s="5" t="s">
        <v>85</v>
      </c>
      <c r="D3750" s="5" t="s">
        <v>86</v>
      </c>
      <c r="E3750" s="5" t="s">
        <v>350</v>
      </c>
      <c r="F3750" s="9">
        <v>19</v>
      </c>
      <c r="G3750" s="9">
        <v>212</v>
      </c>
      <c r="H3750" s="5" t="s">
        <v>20</v>
      </c>
      <c r="I3750" s="5" t="s">
        <v>8928</v>
      </c>
      <c r="J3750" s="12" t="str">
        <f>HYPERLINK("https://www.boe.es/gazeta/dias/1804/03/06/pdfs/GMD-1804-19.pdf#page=12","Abrir facsímil")</f>
        <v>Abrir facsímil</v>
      </c>
      <c r="K3750" s="15" t="s">
        <v>22</v>
      </c>
    </row>
    <row r="3751" spans="1:11" ht="42" customHeight="1">
      <c r="A3751" s="4" t="s">
        <v>8929</v>
      </c>
      <c r="B3751" s="5" t="s">
        <v>8930</v>
      </c>
      <c r="C3751" s="5" t="s">
        <v>17</v>
      </c>
      <c r="D3751" s="5" t="s">
        <v>18</v>
      </c>
      <c r="E3751" s="5" t="s">
        <v>587</v>
      </c>
      <c r="F3751" s="9">
        <v>62</v>
      </c>
      <c r="G3751" s="9">
        <v>687</v>
      </c>
      <c r="H3751" s="5" t="s">
        <v>20</v>
      </c>
      <c r="I3751" s="5" t="s">
        <v>8931</v>
      </c>
      <c r="J3751" s="12" t="str">
        <f>HYPERLINK("https://www.boe.es/gazeta/dias/1804/08/03/pdfs/GMD-1804-62.pdf#page=9","Abrir facsímil")</f>
        <v>Abrir facsímil</v>
      </c>
      <c r="K3751" s="15" t="s">
        <v>22</v>
      </c>
    </row>
    <row r="3752" spans="1:11" ht="42" customHeight="1">
      <c r="A3752" s="4" t="s">
        <v>8932</v>
      </c>
      <c r="B3752" s="5" t="s">
        <v>8933</v>
      </c>
      <c r="C3752" s="5" t="s">
        <v>27</v>
      </c>
      <c r="D3752" s="5" t="s">
        <v>28</v>
      </c>
      <c r="E3752" s="5" t="s">
        <v>19</v>
      </c>
      <c r="F3752" s="9">
        <v>60</v>
      </c>
      <c r="G3752" s="9">
        <v>665</v>
      </c>
      <c r="H3752" s="5" t="s">
        <v>20</v>
      </c>
      <c r="I3752" s="5" t="s">
        <v>8934</v>
      </c>
      <c r="J3752" s="12" t="str">
        <f>HYPERLINK("https://www.boe.es/gazeta/dias/1804/07/27/pdfs/GMD-1804-60.pdf#page=7","Abrir facsímil")</f>
        <v>Abrir facsímil</v>
      </c>
      <c r="K3752" s="15" t="s">
        <v>22</v>
      </c>
    </row>
    <row r="3753" spans="1:11" ht="42" customHeight="1">
      <c r="A3753" s="4" t="s">
        <v>8935</v>
      </c>
      <c r="B3753" s="5" t="s">
        <v>8936</v>
      </c>
      <c r="C3753" s="5" t="s">
        <v>27</v>
      </c>
      <c r="D3753" s="5" t="s">
        <v>28</v>
      </c>
      <c r="E3753" s="5" t="s">
        <v>37</v>
      </c>
      <c r="F3753" s="9">
        <v>29</v>
      </c>
      <c r="G3753" s="9">
        <v>319</v>
      </c>
      <c r="H3753" s="5" t="s">
        <v>20</v>
      </c>
      <c r="I3753" s="5" t="s">
        <v>8937</v>
      </c>
      <c r="J3753" s="12" t="str">
        <f>HYPERLINK("https://www.boe.es/gazeta/dias/1804/04/10/pdfs/GMD-1804-29.pdf#page=9","Abrir facsímil")</f>
        <v>Abrir facsímil</v>
      </c>
      <c r="K3753" s="15" t="s">
        <v>22</v>
      </c>
    </row>
    <row r="3754" spans="1:11" ht="42" customHeight="1">
      <c r="A3754" s="4" t="s">
        <v>8935</v>
      </c>
      <c r="B3754" s="5" t="s">
        <v>8936</v>
      </c>
      <c r="C3754" s="5" t="s">
        <v>27</v>
      </c>
      <c r="D3754" s="5" t="s">
        <v>28</v>
      </c>
      <c r="E3754" s="5" t="s">
        <v>308</v>
      </c>
      <c r="F3754" s="9">
        <v>96</v>
      </c>
      <c r="G3754" s="9">
        <v>1068</v>
      </c>
      <c r="H3754" s="5" t="s">
        <v>20</v>
      </c>
      <c r="I3754" s="5" t="s">
        <v>8938</v>
      </c>
      <c r="J3754" s="12" t="str">
        <f>HYPERLINK("https://www.boe.es/gazeta/dias/1804/11/30/pdfs/GMD-1804-96.pdf#page=8","Abrir facsímil")</f>
        <v>Abrir facsímil</v>
      </c>
      <c r="K3754" s="15" t="s">
        <v>22</v>
      </c>
    </row>
    <row r="3755" spans="1:11" ht="42" customHeight="1">
      <c r="A3755" s="4" t="s">
        <v>8939</v>
      </c>
      <c r="B3755" s="5" t="s">
        <v>8940</v>
      </c>
      <c r="C3755" s="5" t="s">
        <v>17</v>
      </c>
      <c r="D3755" s="5" t="s">
        <v>18</v>
      </c>
      <c r="E3755" s="5" t="s">
        <v>226</v>
      </c>
      <c r="F3755" s="9">
        <v>17</v>
      </c>
      <c r="G3755" s="9">
        <v>185</v>
      </c>
      <c r="H3755" s="5" t="s">
        <v>20</v>
      </c>
      <c r="I3755" s="5" t="s">
        <v>8941</v>
      </c>
      <c r="J3755" s="12" t="str">
        <f>HYPERLINK("https://www.boe.es/gazeta/dias/1804/02/28/pdfs/GMD-1804-17.pdf#page=5","Abrir facsímil")</f>
        <v>Abrir facsímil</v>
      </c>
      <c r="K3755" s="15" t="s">
        <v>22</v>
      </c>
    </row>
    <row r="3756" spans="1:11" ht="42" customHeight="1">
      <c r="A3756" s="4" t="s">
        <v>8942</v>
      </c>
      <c r="B3756" s="5" t="s">
        <v>8943</v>
      </c>
      <c r="C3756" s="5" t="s">
        <v>120</v>
      </c>
      <c r="D3756" s="5" t="s">
        <v>121</v>
      </c>
      <c r="E3756" s="5" t="s">
        <v>33</v>
      </c>
      <c r="F3756" s="9">
        <v>48</v>
      </c>
      <c r="G3756" s="9" t="s">
        <v>819</v>
      </c>
      <c r="H3756" s="5" t="s">
        <v>20</v>
      </c>
      <c r="I3756" s="5" t="s">
        <v>8944</v>
      </c>
      <c r="J3756" s="12" t="str">
        <f>HYPERLINK("https://www.boe.es/gazeta/dias/1804/06/15/pdfs/GMD-C-1804-48.pdf#page=4","Abrir facsímil")</f>
        <v>Abrir facsímil</v>
      </c>
      <c r="K3756" s="15" t="s">
        <v>22</v>
      </c>
    </row>
    <row r="3757" spans="1:11" ht="42" customHeight="1">
      <c r="A3757" s="4" t="s">
        <v>8939</v>
      </c>
      <c r="B3757" s="5" t="s">
        <v>8940</v>
      </c>
      <c r="C3757" s="5" t="s">
        <v>17</v>
      </c>
      <c r="D3757" s="5" t="s">
        <v>18</v>
      </c>
      <c r="E3757" s="5" t="s">
        <v>71</v>
      </c>
      <c r="F3757" s="9">
        <v>99</v>
      </c>
      <c r="G3757" s="9">
        <v>1106</v>
      </c>
      <c r="H3757" s="5" t="s">
        <v>20</v>
      </c>
      <c r="I3757" s="5" t="s">
        <v>8945</v>
      </c>
      <c r="J3757" s="12" t="str">
        <f>HYPERLINK("https://www.boe.es/gazeta/dias/1804/12/11/pdfs/GMD-1804-99.pdf#page=6","Abrir facsímil")</f>
        <v>Abrir facsímil</v>
      </c>
      <c r="K3757" s="15" t="s">
        <v>22</v>
      </c>
    </row>
    <row r="3758" spans="1:11" ht="42" customHeight="1">
      <c r="A3758" s="4" t="s">
        <v>8946</v>
      </c>
      <c r="B3758" s="5" t="s">
        <v>8947</v>
      </c>
      <c r="C3758" s="5" t="s">
        <v>17</v>
      </c>
      <c r="D3758" s="5" t="s">
        <v>18</v>
      </c>
      <c r="E3758" s="5" t="s">
        <v>466</v>
      </c>
      <c r="F3758" s="9">
        <v>76</v>
      </c>
      <c r="G3758" s="9">
        <v>846</v>
      </c>
      <c r="H3758" s="5" t="s">
        <v>20</v>
      </c>
      <c r="I3758" s="5" t="s">
        <v>8948</v>
      </c>
      <c r="J3758" s="12" t="str">
        <f>HYPERLINK("https://www.boe.es/gazeta/dias/1804/09/21/pdfs/GMD-1804-76.pdf#page=4","Abrir facsímil")</f>
        <v>Abrir facsímil</v>
      </c>
      <c r="K3758" s="15" t="s">
        <v>22</v>
      </c>
    </row>
    <row r="3759" spans="1:11" ht="42" customHeight="1">
      <c r="A3759" s="4" t="s">
        <v>8949</v>
      </c>
      <c r="B3759" s="5" t="s">
        <v>8950</v>
      </c>
      <c r="C3759" s="5" t="s">
        <v>120</v>
      </c>
      <c r="D3759" s="5" t="s">
        <v>121</v>
      </c>
      <c r="E3759" s="5" t="s">
        <v>33</v>
      </c>
      <c r="F3759" s="9">
        <v>48</v>
      </c>
      <c r="G3759" s="9" t="s">
        <v>819</v>
      </c>
      <c r="H3759" s="5" t="s">
        <v>20</v>
      </c>
      <c r="I3759" s="5" t="s">
        <v>8951</v>
      </c>
      <c r="J3759" s="12" t="str">
        <f>HYPERLINK("https://www.boe.es/gazeta/dias/1804/06/15/pdfs/GMD-C-1804-48.pdf#page=4","Abrir facsímil")</f>
        <v>Abrir facsímil</v>
      </c>
      <c r="K3759" s="15" t="s">
        <v>22</v>
      </c>
    </row>
    <row r="3760" spans="1:11" ht="42" customHeight="1">
      <c r="A3760" s="4" t="s">
        <v>8952</v>
      </c>
      <c r="B3760" s="5" t="s">
        <v>8953</v>
      </c>
      <c r="C3760" s="5" t="s">
        <v>27</v>
      </c>
      <c r="D3760" s="5" t="s">
        <v>28</v>
      </c>
      <c r="E3760" s="5" t="s">
        <v>143</v>
      </c>
      <c r="F3760" s="9">
        <v>87</v>
      </c>
      <c r="G3760" s="9">
        <v>963</v>
      </c>
      <c r="H3760" s="5" t="s">
        <v>20</v>
      </c>
      <c r="I3760" s="5" t="s">
        <v>8954</v>
      </c>
      <c r="J3760" s="12" t="str">
        <f>HYPERLINK("https://www.boe.es/gazeta/dias/1804/10/30/pdfs/GMD-1804-87.pdf#page=7","Abrir facsímil")</f>
        <v>Abrir facsímil</v>
      </c>
      <c r="K3760" s="15" t="s">
        <v>22</v>
      </c>
    </row>
    <row r="3761" spans="1:11" ht="42" customHeight="1">
      <c r="A3761" s="4" t="s">
        <v>8955</v>
      </c>
      <c r="B3761" s="5" t="s">
        <v>8956</v>
      </c>
      <c r="C3761" s="5" t="s">
        <v>65</v>
      </c>
      <c r="D3761" s="5" t="s">
        <v>66</v>
      </c>
      <c r="E3761" s="5" t="s">
        <v>54</v>
      </c>
      <c r="F3761" s="9">
        <v>63</v>
      </c>
      <c r="G3761" s="9">
        <v>700</v>
      </c>
      <c r="H3761" s="5" t="s">
        <v>20</v>
      </c>
      <c r="I3761" s="5" t="s">
        <v>8957</v>
      </c>
      <c r="J3761" s="12" t="str">
        <f>HYPERLINK("https://www.boe.es/gazeta/dias/1804/08/07/pdfs/GMD-1804-63.pdf#page=10","Abrir facsímil")</f>
        <v>Abrir facsímil</v>
      </c>
      <c r="K3761" s="15" t="s">
        <v>22</v>
      </c>
    </row>
    <row r="3762" spans="1:11" ht="42" customHeight="1">
      <c r="A3762" s="4" t="s">
        <v>8958</v>
      </c>
      <c r="B3762" s="5" t="s">
        <v>8959</v>
      </c>
      <c r="C3762" s="5" t="s">
        <v>85</v>
      </c>
      <c r="D3762" s="5" t="s">
        <v>86</v>
      </c>
      <c r="E3762" s="5" t="s">
        <v>678</v>
      </c>
      <c r="F3762" s="9">
        <v>104</v>
      </c>
      <c r="G3762" s="9">
        <v>1164</v>
      </c>
      <c r="H3762" s="5" t="s">
        <v>20</v>
      </c>
      <c r="I3762" s="5" t="s">
        <v>8960</v>
      </c>
      <c r="J3762" s="12" t="str">
        <f>HYPERLINK("https://www.boe.es/gazeta/dias/1804/12/28/pdfs/GMD-1804-104.pdf#page=12","Abrir facsímil")</f>
        <v>Abrir facsímil</v>
      </c>
      <c r="K3762" s="15" t="s">
        <v>22</v>
      </c>
    </row>
    <row r="3763" spans="1:11" ht="42" customHeight="1">
      <c r="A3763" s="4" t="s">
        <v>8961</v>
      </c>
      <c r="B3763" s="5" t="s">
        <v>8962</v>
      </c>
      <c r="C3763" s="5" t="s">
        <v>27</v>
      </c>
      <c r="D3763" s="5" t="s">
        <v>28</v>
      </c>
      <c r="E3763" s="5" t="s">
        <v>1278</v>
      </c>
      <c r="F3763" s="9">
        <v>37</v>
      </c>
      <c r="G3763" s="9">
        <v>410</v>
      </c>
      <c r="H3763" s="5" t="s">
        <v>20</v>
      </c>
      <c r="I3763" s="5" t="s">
        <v>8963</v>
      </c>
      <c r="J3763" s="12" t="str">
        <f>HYPERLINK("https://www.boe.es/gazeta/dias/1804/05/08/pdfs/GMD-1804-37.pdf#page=8","Abrir facsímil")</f>
        <v>Abrir facsímil</v>
      </c>
      <c r="K3763" s="15" t="s">
        <v>22</v>
      </c>
    </row>
    <row r="3764" spans="1:11" ht="42" customHeight="1">
      <c r="A3764" s="4" t="s">
        <v>8964</v>
      </c>
      <c r="B3764" s="5" t="s">
        <v>8964</v>
      </c>
      <c r="C3764" s="5" t="s">
        <v>57</v>
      </c>
      <c r="D3764" s="5" t="s">
        <v>58</v>
      </c>
      <c r="E3764" s="5" t="s">
        <v>143</v>
      </c>
      <c r="F3764" s="9">
        <v>87</v>
      </c>
      <c r="G3764" s="9">
        <v>957</v>
      </c>
      <c r="H3764" s="5" t="s">
        <v>20</v>
      </c>
      <c r="I3764" s="5" t="s">
        <v>8965</v>
      </c>
      <c r="J3764" s="12" t="str">
        <f>HYPERLINK("https://www.boe.es/gazeta/dias/1804/10/30/pdfs/GMD-1804-87.pdf#page=1","Abrir facsímil")</f>
        <v>Abrir facsímil</v>
      </c>
      <c r="K3764" s="15" t="s">
        <v>22</v>
      </c>
    </row>
    <row r="3765" spans="1:11" ht="42" customHeight="1">
      <c r="A3765" s="4" t="s">
        <v>8966</v>
      </c>
      <c r="B3765" s="5" t="s">
        <v>8967</v>
      </c>
      <c r="C3765" s="5" t="s">
        <v>17</v>
      </c>
      <c r="D3765" s="5" t="s">
        <v>18</v>
      </c>
      <c r="E3765" s="5" t="s">
        <v>182</v>
      </c>
      <c r="F3765" s="9">
        <v>21</v>
      </c>
      <c r="G3765" s="9">
        <v>232</v>
      </c>
      <c r="H3765" s="5" t="s">
        <v>20</v>
      </c>
      <c r="I3765" s="5" t="s">
        <v>8968</v>
      </c>
      <c r="J3765" s="12" t="str">
        <f>HYPERLINK("https://www.boe.es/gazeta/dias/1804/03/13/pdfs/GMD-1804-21.pdf#page=8","Abrir facsímil")</f>
        <v>Abrir facsímil</v>
      </c>
      <c r="K3765" s="15" t="s">
        <v>22</v>
      </c>
    </row>
    <row r="3766" spans="1:11" ht="42" customHeight="1">
      <c r="A3766" s="4" t="s">
        <v>8969</v>
      </c>
      <c r="B3766" s="5" t="s">
        <v>8970</v>
      </c>
      <c r="C3766" s="5" t="s">
        <v>27</v>
      </c>
      <c r="D3766" s="5" t="s">
        <v>28</v>
      </c>
      <c r="E3766" s="5" t="s">
        <v>206</v>
      </c>
      <c r="F3766" s="9">
        <v>44</v>
      </c>
      <c r="G3766" s="9">
        <v>488</v>
      </c>
      <c r="H3766" s="5" t="s">
        <v>20</v>
      </c>
      <c r="I3766" s="5" t="s">
        <v>8971</v>
      </c>
      <c r="J3766" s="12" t="str">
        <f>HYPERLINK("https://www.boe.es/gazeta/dias/1804/06/01/pdfs/GMD-1804-44.pdf#page=6","Abrir facsímil")</f>
        <v>Abrir facsímil</v>
      </c>
      <c r="K3766" s="15" t="s">
        <v>22</v>
      </c>
    </row>
    <row r="3767" spans="1:11" ht="42" customHeight="1">
      <c r="A3767" s="4" t="s">
        <v>8972</v>
      </c>
      <c r="B3767" s="5" t="s">
        <v>8973</v>
      </c>
      <c r="C3767" s="5" t="s">
        <v>85</v>
      </c>
      <c r="D3767" s="5" t="s">
        <v>86</v>
      </c>
      <c r="E3767" s="5" t="s">
        <v>704</v>
      </c>
      <c r="F3767" s="9">
        <v>36</v>
      </c>
      <c r="G3767" s="9">
        <v>402</v>
      </c>
      <c r="H3767" s="5" t="s">
        <v>20</v>
      </c>
      <c r="I3767" s="5" t="s">
        <v>8974</v>
      </c>
      <c r="J3767" s="12" t="str">
        <f>HYPERLINK("https://www.boe.es/gazeta/dias/1804/05/04/pdfs/GMD-1804-36.pdf#page=12","Abrir facsímil")</f>
        <v>Abrir facsímil</v>
      </c>
      <c r="K3767" s="15" t="s">
        <v>22</v>
      </c>
    </row>
    <row r="3768" spans="1:11" ht="42" customHeight="1">
      <c r="A3768" s="4" t="s">
        <v>8975</v>
      </c>
      <c r="B3768" s="5" t="s">
        <v>8975</v>
      </c>
      <c r="C3768" s="5" t="s">
        <v>27</v>
      </c>
      <c r="D3768" s="5" t="s">
        <v>28</v>
      </c>
      <c r="E3768" s="5" t="s">
        <v>37</v>
      </c>
      <c r="F3768" s="9">
        <v>29</v>
      </c>
      <c r="G3768" s="9">
        <v>312</v>
      </c>
      <c r="H3768" s="5" t="s">
        <v>20</v>
      </c>
      <c r="I3768" s="5" t="s">
        <v>8976</v>
      </c>
      <c r="J3768" s="12" t="str">
        <f>HYPERLINK("https://www.boe.es/gazeta/dias/1804/04/10/pdfs/GMD-1804-29.pdf#page=2","Abrir facsímil")</f>
        <v>Abrir facsímil</v>
      </c>
      <c r="K3768" s="15" t="s">
        <v>22</v>
      </c>
    </row>
    <row r="3769" spans="1:11" ht="42" customHeight="1">
      <c r="A3769" s="4" t="s">
        <v>8977</v>
      </c>
      <c r="B3769" s="5" t="s">
        <v>8977</v>
      </c>
      <c r="C3769" s="5" t="s">
        <v>17</v>
      </c>
      <c r="D3769" s="5" t="s">
        <v>18</v>
      </c>
      <c r="E3769" s="5" t="s">
        <v>234</v>
      </c>
      <c r="F3769" s="9">
        <v>86</v>
      </c>
      <c r="G3769" s="9">
        <v>949</v>
      </c>
      <c r="H3769" s="5" t="s">
        <v>20</v>
      </c>
      <c r="I3769" s="5" t="s">
        <v>8978</v>
      </c>
      <c r="J3769" s="12" t="str">
        <f>HYPERLINK("https://www.boe.es/gazeta/dias/1804/10/26/pdfs/GMD-1804-86.pdf#page=7","Abrir facsímil")</f>
        <v>Abrir facsímil</v>
      </c>
      <c r="K3769" s="15" t="s">
        <v>22</v>
      </c>
    </row>
    <row r="3770" spans="1:11" ht="42" customHeight="1">
      <c r="A3770" s="4" t="s">
        <v>8979</v>
      </c>
      <c r="B3770" s="5" t="s">
        <v>8980</v>
      </c>
      <c r="C3770" s="5" t="s">
        <v>27</v>
      </c>
      <c r="D3770" s="5" t="s">
        <v>28</v>
      </c>
      <c r="E3770" s="5" t="s">
        <v>19</v>
      </c>
      <c r="F3770" s="9">
        <v>60</v>
      </c>
      <c r="G3770" s="9">
        <v>665</v>
      </c>
      <c r="H3770" s="5" t="s">
        <v>20</v>
      </c>
      <c r="I3770" s="5" t="s">
        <v>8981</v>
      </c>
      <c r="J3770" s="12" t="str">
        <f>HYPERLINK("https://www.boe.es/gazeta/dias/1804/07/27/pdfs/GMD-1804-60.pdf#page=7","Abrir facsímil")</f>
        <v>Abrir facsímil</v>
      </c>
      <c r="K3770" s="15" t="s">
        <v>22</v>
      </c>
    </row>
    <row r="3771" spans="1:11" ht="42" customHeight="1">
      <c r="A3771" s="4" t="s">
        <v>8982</v>
      </c>
      <c r="B3771" s="5" t="s">
        <v>8982</v>
      </c>
      <c r="C3771" s="5" t="s">
        <v>120</v>
      </c>
      <c r="D3771" s="5" t="s">
        <v>121</v>
      </c>
      <c r="E3771" s="5" t="s">
        <v>33</v>
      </c>
      <c r="F3771" s="9">
        <v>48</v>
      </c>
      <c r="G3771" s="9" t="s">
        <v>819</v>
      </c>
      <c r="H3771" s="5" t="s">
        <v>20</v>
      </c>
      <c r="I3771" s="5" t="s">
        <v>8983</v>
      </c>
      <c r="J3771" s="12" t="str">
        <f>HYPERLINK("https://www.boe.es/gazeta/dias/1804/06/15/pdfs/GMD-C-1804-48.pdf#page=4","Abrir facsímil")</f>
        <v>Abrir facsímil</v>
      </c>
      <c r="K3771" s="15" t="s">
        <v>22</v>
      </c>
    </row>
    <row r="3772" spans="1:11" ht="42" customHeight="1">
      <c r="A3772" s="4" t="s">
        <v>8984</v>
      </c>
      <c r="B3772" s="5" t="s">
        <v>8984</v>
      </c>
      <c r="C3772" s="5" t="s">
        <v>27</v>
      </c>
      <c r="D3772" s="5" t="s">
        <v>28</v>
      </c>
      <c r="E3772" s="5" t="s">
        <v>191</v>
      </c>
      <c r="F3772" s="9">
        <v>101</v>
      </c>
      <c r="G3772" s="9">
        <v>1128</v>
      </c>
      <c r="H3772" s="5" t="s">
        <v>20</v>
      </c>
      <c r="I3772" s="5" t="s">
        <v>8985</v>
      </c>
      <c r="J3772" s="12" t="str">
        <f>HYPERLINK("https://www.boe.es/gazeta/dias/1804/12/18/pdfs/GMD-1804-101.pdf#page=8","Abrir facsímil")</f>
        <v>Abrir facsímil</v>
      </c>
      <c r="K3772" s="15" t="s">
        <v>22</v>
      </c>
    </row>
    <row r="3773" spans="1:11" ht="42" customHeight="1">
      <c r="A3773" s="4" t="s">
        <v>8986</v>
      </c>
      <c r="B3773" s="5" t="s">
        <v>8987</v>
      </c>
      <c r="C3773" s="5" t="s">
        <v>17</v>
      </c>
      <c r="D3773" s="5" t="s">
        <v>18</v>
      </c>
      <c r="E3773" s="5" t="s">
        <v>71</v>
      </c>
      <c r="F3773" s="9">
        <v>99</v>
      </c>
      <c r="G3773" s="9">
        <v>1106</v>
      </c>
      <c r="H3773" s="5" t="s">
        <v>20</v>
      </c>
      <c r="I3773" s="5" t="s">
        <v>8988</v>
      </c>
      <c r="J3773" s="12" t="str">
        <f>HYPERLINK("https://www.boe.es/gazeta/dias/1804/12/11/pdfs/GMD-1804-99.pdf#page=6","Abrir facsímil")</f>
        <v>Abrir facsímil</v>
      </c>
      <c r="K3773" s="15" t="s">
        <v>22</v>
      </c>
    </row>
    <row r="3774" spans="1:11" ht="42" customHeight="1">
      <c r="A3774" s="4" t="s">
        <v>8989</v>
      </c>
      <c r="B3774" s="5" t="s">
        <v>8990</v>
      </c>
      <c r="C3774" s="5" t="s">
        <v>17</v>
      </c>
      <c r="D3774" s="5" t="s">
        <v>18</v>
      </c>
      <c r="E3774" s="5" t="s">
        <v>47</v>
      </c>
      <c r="F3774" s="9">
        <v>78</v>
      </c>
      <c r="G3774" s="9">
        <v>867</v>
      </c>
      <c r="H3774" s="5" t="s">
        <v>20</v>
      </c>
      <c r="I3774" s="5" t="s">
        <v>8991</v>
      </c>
      <c r="J3774" s="12" t="str">
        <f>HYPERLINK("https://www.boe.es/gazeta/dias/1804/09/28/pdfs/GMD-1804-78.pdf#page=5","Abrir facsímil")</f>
        <v>Abrir facsímil</v>
      </c>
      <c r="K3774" s="15" t="s">
        <v>22</v>
      </c>
    </row>
    <row r="3775" spans="1:11" ht="42" customHeight="1">
      <c r="A3775" s="4" t="s">
        <v>8989</v>
      </c>
      <c r="B3775" s="5" t="s">
        <v>8990</v>
      </c>
      <c r="C3775" s="5" t="s">
        <v>85</v>
      </c>
      <c r="D3775" s="5" t="s">
        <v>86</v>
      </c>
      <c r="E3775" s="5" t="s">
        <v>43</v>
      </c>
      <c r="F3775" s="9">
        <v>84</v>
      </c>
      <c r="G3775" s="9">
        <v>930</v>
      </c>
      <c r="H3775" s="5" t="s">
        <v>20</v>
      </c>
      <c r="I3775" s="5" t="s">
        <v>8992</v>
      </c>
      <c r="J3775" s="12" t="str">
        <f>HYPERLINK("https://www.boe.es/gazeta/dias/1804/10/19/pdfs/GMD-1804-84.pdf#page=8","Abrir facsímil")</f>
        <v>Abrir facsímil</v>
      </c>
      <c r="K3775" s="15" t="s">
        <v>22</v>
      </c>
    </row>
    <row r="3776" spans="1:11" ht="42" customHeight="1">
      <c r="A3776" s="4" t="s">
        <v>8993</v>
      </c>
      <c r="B3776" s="5" t="s">
        <v>8993</v>
      </c>
      <c r="C3776" s="5" t="s">
        <v>27</v>
      </c>
      <c r="D3776" s="5" t="s">
        <v>28</v>
      </c>
      <c r="E3776" s="5" t="s">
        <v>41</v>
      </c>
      <c r="F3776" s="9">
        <v>24</v>
      </c>
      <c r="G3776" s="9">
        <v>276</v>
      </c>
      <c r="H3776" s="5" t="s">
        <v>20</v>
      </c>
      <c r="I3776" s="5" t="s">
        <v>8994</v>
      </c>
      <c r="J3776" s="12" t="str">
        <f>HYPERLINK("https://www.boe.es/gazeta/dias/1804/03/23/pdfs/GMD-1804-24.pdf#page=10","Abrir facsímil")</f>
        <v>Abrir facsímil</v>
      </c>
      <c r="K3776" s="15" t="s">
        <v>22</v>
      </c>
    </row>
    <row r="3777" spans="1:11" ht="42" customHeight="1">
      <c r="A3777" s="4" t="s">
        <v>8995</v>
      </c>
      <c r="B3777" s="5" t="s">
        <v>8996</v>
      </c>
      <c r="C3777" s="5" t="s">
        <v>65</v>
      </c>
      <c r="D3777" s="5" t="s">
        <v>66</v>
      </c>
      <c r="E3777" s="5" t="s">
        <v>19</v>
      </c>
      <c r="F3777" s="9">
        <v>60</v>
      </c>
      <c r="G3777" s="9">
        <v>668</v>
      </c>
      <c r="H3777" s="5" t="s">
        <v>20</v>
      </c>
      <c r="I3777" s="5" t="s">
        <v>8997</v>
      </c>
      <c r="J3777" s="12" t="str">
        <f>HYPERLINK("https://www.boe.es/gazeta/dias/1804/07/27/pdfs/GMD-1804-60.pdf#page=10","Abrir facsímil")</f>
        <v>Abrir facsímil</v>
      </c>
      <c r="K3777" s="15" t="s">
        <v>22</v>
      </c>
    </row>
    <row r="3778" spans="1:11" ht="42" customHeight="1">
      <c r="A3778" s="4" t="s">
        <v>8998</v>
      </c>
      <c r="B3778" s="5" t="s">
        <v>8998</v>
      </c>
      <c r="C3778" s="5" t="s">
        <v>27</v>
      </c>
      <c r="D3778" s="5" t="s">
        <v>28</v>
      </c>
      <c r="E3778" s="5" t="s">
        <v>132</v>
      </c>
      <c r="F3778" s="9">
        <v>52</v>
      </c>
      <c r="G3778" s="9">
        <v>573</v>
      </c>
      <c r="H3778" s="5" t="s">
        <v>20</v>
      </c>
      <c r="I3778" s="5" t="s">
        <v>8999</v>
      </c>
      <c r="J3778" s="12" t="str">
        <f>HYPERLINK("https://www.boe.es/gazeta/dias/1804/06/29/pdfs/GMD-1804-52.pdf#page=7","Abrir facsímil")</f>
        <v>Abrir facsímil</v>
      </c>
      <c r="K3778" s="15" t="s">
        <v>22</v>
      </c>
    </row>
    <row r="3779" spans="1:11" ht="42" customHeight="1">
      <c r="A3779" s="4" t="s">
        <v>9000</v>
      </c>
      <c r="B3779" s="5" t="s">
        <v>9001</v>
      </c>
      <c r="C3779" s="5" t="s">
        <v>65</v>
      </c>
      <c r="D3779" s="5" t="s">
        <v>66</v>
      </c>
      <c r="E3779" s="5" t="s">
        <v>515</v>
      </c>
      <c r="F3779" s="9">
        <v>102</v>
      </c>
      <c r="G3779" s="9">
        <v>1134</v>
      </c>
      <c r="H3779" s="5" t="s">
        <v>20</v>
      </c>
      <c r="I3779" s="5" t="s">
        <v>9002</v>
      </c>
      <c r="J3779" s="12" t="str">
        <f>HYPERLINK("https://www.boe.es/gazeta/dias/1804/12/21/pdfs/GMD-1804-102.pdf#page=2","Abrir facsímil")</f>
        <v>Abrir facsímil</v>
      </c>
      <c r="K3779" s="15" t="s">
        <v>22</v>
      </c>
    </row>
    <row r="3780" spans="1:11" ht="42" customHeight="1">
      <c r="A3780" s="4" t="s">
        <v>9003</v>
      </c>
      <c r="B3780" s="5" t="s">
        <v>9004</v>
      </c>
      <c r="C3780" s="5" t="s">
        <v>262</v>
      </c>
      <c r="D3780" s="5" t="s">
        <v>263</v>
      </c>
      <c r="E3780" s="5" t="s">
        <v>398</v>
      </c>
      <c r="F3780" s="9">
        <v>22</v>
      </c>
      <c r="G3780" s="9">
        <v>250</v>
      </c>
      <c r="H3780" s="5" t="s">
        <v>20</v>
      </c>
      <c r="I3780" s="5" t="s">
        <v>9005</v>
      </c>
      <c r="J3780" s="12" t="str">
        <f>HYPERLINK("https://www.boe.es/gazeta/dias/1804/03/16/pdfs/GMD-C-1804-22.pdf#page=2","Abrir facsímil")</f>
        <v>Abrir facsímil</v>
      </c>
      <c r="K3780" s="15" t="s">
        <v>22</v>
      </c>
    </row>
    <row r="3781" spans="1:11" ht="42" customHeight="1">
      <c r="A3781" s="4" t="s">
        <v>9003</v>
      </c>
      <c r="B3781" s="5" t="s">
        <v>9004</v>
      </c>
      <c r="C3781" s="5" t="s">
        <v>262</v>
      </c>
      <c r="D3781" s="5" t="s">
        <v>263</v>
      </c>
      <c r="E3781" s="5" t="s">
        <v>666</v>
      </c>
      <c r="F3781" s="9">
        <v>57</v>
      </c>
      <c r="G3781" s="9">
        <v>636</v>
      </c>
      <c r="H3781" s="5" t="s">
        <v>20</v>
      </c>
      <c r="I3781" s="5" t="s">
        <v>9006</v>
      </c>
      <c r="J3781" s="12" t="str">
        <f>HYPERLINK("https://www.boe.es/gazeta/dias/1804/07/17/pdfs/GMD-C-1804-57.pdf#page=2","Abrir facsímil")</f>
        <v>Abrir facsímil</v>
      </c>
      <c r="K3781" s="15" t="s">
        <v>22</v>
      </c>
    </row>
    <row r="3782" spans="1:11" ht="42" customHeight="1">
      <c r="A3782" s="4" t="s">
        <v>9003</v>
      </c>
      <c r="B3782" s="5" t="s">
        <v>9004</v>
      </c>
      <c r="C3782" s="5" t="s">
        <v>17</v>
      </c>
      <c r="D3782" s="5" t="s">
        <v>18</v>
      </c>
      <c r="E3782" s="5" t="s">
        <v>155</v>
      </c>
      <c r="F3782" s="9">
        <v>92</v>
      </c>
      <c r="G3782" s="9">
        <v>1022</v>
      </c>
      <c r="H3782" s="5" t="s">
        <v>20</v>
      </c>
      <c r="I3782" s="5" t="s">
        <v>9007</v>
      </c>
      <c r="J3782" s="12" t="str">
        <f>HYPERLINK("https://www.boe.es/gazeta/dias/1804/11/16/pdfs/GMD-1804-92.pdf#page=10","Abrir facsímil")</f>
        <v>Abrir facsímil</v>
      </c>
      <c r="K3782" s="15" t="s">
        <v>22</v>
      </c>
    </row>
    <row r="3783" spans="1:11" ht="42" customHeight="1">
      <c r="A3783" s="4" t="s">
        <v>9008</v>
      </c>
      <c r="B3783" s="5" t="s">
        <v>9009</v>
      </c>
      <c r="C3783" s="5" t="s">
        <v>65</v>
      </c>
      <c r="D3783" s="5" t="s">
        <v>66</v>
      </c>
      <c r="E3783" s="5" t="s">
        <v>678</v>
      </c>
      <c r="F3783" s="9">
        <v>104</v>
      </c>
      <c r="G3783" s="9">
        <v>1162</v>
      </c>
      <c r="H3783" s="5" t="s">
        <v>20</v>
      </c>
      <c r="I3783" s="5" t="s">
        <v>9010</v>
      </c>
      <c r="J3783" s="12" t="str">
        <f>HYPERLINK("https://www.boe.es/gazeta/dias/1804/12/28/pdfs/GMD-1804-104.pdf#page=10","Abrir facsímil")</f>
        <v>Abrir facsímil</v>
      </c>
      <c r="K3783" s="15" t="s">
        <v>22</v>
      </c>
    </row>
    <row r="3784" spans="1:11" ht="42" customHeight="1">
      <c r="A3784" s="4" t="s">
        <v>9011</v>
      </c>
      <c r="B3784" s="5" t="s">
        <v>9012</v>
      </c>
      <c r="C3784" s="5" t="s">
        <v>17</v>
      </c>
      <c r="D3784" s="5" t="s">
        <v>18</v>
      </c>
      <c r="E3784" s="5" t="s">
        <v>71</v>
      </c>
      <c r="F3784" s="9">
        <v>99</v>
      </c>
      <c r="G3784" s="9">
        <v>1107</v>
      </c>
      <c r="H3784" s="5" t="s">
        <v>20</v>
      </c>
      <c r="I3784" s="5" t="s">
        <v>9013</v>
      </c>
      <c r="J3784" s="12" t="str">
        <f>HYPERLINK("https://www.boe.es/gazeta/dias/1804/12/11/pdfs/GMD-1804-99.pdf#page=7","Abrir facsímil")</f>
        <v>Abrir facsímil</v>
      </c>
      <c r="K3784" s="15" t="s">
        <v>22</v>
      </c>
    </row>
    <row r="3785" spans="1:11" ht="42" customHeight="1">
      <c r="A3785" s="4" t="s">
        <v>9014</v>
      </c>
      <c r="B3785" s="5" t="s">
        <v>9015</v>
      </c>
      <c r="C3785" s="5" t="s">
        <v>17</v>
      </c>
      <c r="D3785" s="5" t="s">
        <v>18</v>
      </c>
      <c r="E3785" s="5" t="s">
        <v>421</v>
      </c>
      <c r="F3785" s="9">
        <v>47</v>
      </c>
      <c r="G3785" s="9">
        <v>528</v>
      </c>
      <c r="H3785" s="5" t="s">
        <v>20</v>
      </c>
      <c r="I3785" s="5" t="s">
        <v>9016</v>
      </c>
      <c r="J3785" s="12" t="str">
        <f>HYPERLINK("https://www.boe.es/gazeta/dias/1804/06/12/pdfs/GMD-1804-47.pdf#page=10","Abrir facsímil")</f>
        <v>Abrir facsímil</v>
      </c>
      <c r="K3785" s="15" t="s">
        <v>22</v>
      </c>
    </row>
    <row r="3786" spans="1:11" ht="42" customHeight="1">
      <c r="A3786" s="4" t="s">
        <v>9017</v>
      </c>
      <c r="B3786" s="5" t="s">
        <v>9018</v>
      </c>
      <c r="C3786" s="5" t="s">
        <v>65</v>
      </c>
      <c r="D3786" s="5" t="s">
        <v>66</v>
      </c>
      <c r="E3786" s="5" t="s">
        <v>484</v>
      </c>
      <c r="F3786" s="9">
        <v>53</v>
      </c>
      <c r="G3786" s="9">
        <v>590</v>
      </c>
      <c r="H3786" s="5" t="s">
        <v>20</v>
      </c>
      <c r="I3786" s="5" t="s">
        <v>9019</v>
      </c>
      <c r="J3786" s="12" t="str">
        <f>HYPERLINK("https://www.boe.es/gazeta/dias/1804/07/03/pdfs/GMD-1804-53.pdf#page=8","Abrir facsímil")</f>
        <v>Abrir facsímil</v>
      </c>
      <c r="K3786" s="15" t="s">
        <v>22</v>
      </c>
    </row>
    <row r="3787" spans="1:11" ht="42" customHeight="1">
      <c r="A3787" s="4" t="s">
        <v>9017</v>
      </c>
      <c r="B3787" s="5" t="s">
        <v>9018</v>
      </c>
      <c r="C3787" s="5" t="s">
        <v>65</v>
      </c>
      <c r="D3787" s="5" t="s">
        <v>66</v>
      </c>
      <c r="E3787" s="5" t="s">
        <v>67</v>
      </c>
      <c r="F3787" s="9">
        <v>59</v>
      </c>
      <c r="G3787" s="9">
        <v>652</v>
      </c>
      <c r="H3787" s="5" t="s">
        <v>20</v>
      </c>
      <c r="I3787" s="5" t="s">
        <v>9020</v>
      </c>
      <c r="J3787" s="12" t="str">
        <f>HYPERLINK("https://www.boe.es/gazeta/dias/1804/07/24/pdfs/GMD-1804-59.pdf#page=6","Abrir facsímil")</f>
        <v>Abrir facsímil</v>
      </c>
      <c r="K3787" s="15" t="s">
        <v>22</v>
      </c>
    </row>
    <row r="3788" spans="1:11" ht="42" customHeight="1">
      <c r="A3788" s="4" t="s">
        <v>9021</v>
      </c>
      <c r="B3788" s="5" t="s">
        <v>9021</v>
      </c>
      <c r="C3788" s="5" t="s">
        <v>65</v>
      </c>
      <c r="D3788" s="5" t="s">
        <v>66</v>
      </c>
      <c r="E3788" s="5" t="s">
        <v>47</v>
      </c>
      <c r="F3788" s="9">
        <v>78</v>
      </c>
      <c r="G3788" s="9">
        <v>868</v>
      </c>
      <c r="H3788" s="5" t="s">
        <v>20</v>
      </c>
      <c r="I3788" s="5" t="s">
        <v>9022</v>
      </c>
      <c r="J3788" s="12" t="str">
        <f>HYPERLINK("https://www.boe.es/gazeta/dias/1804/09/28/pdfs/GMD-1804-78.pdf#page=6","Abrir facsímil")</f>
        <v>Abrir facsímil</v>
      </c>
      <c r="K3788" s="15" t="s">
        <v>22</v>
      </c>
    </row>
    <row r="3789" spans="1:11" ht="42" customHeight="1">
      <c r="A3789" s="4" t="s">
        <v>9021</v>
      </c>
      <c r="B3789" s="5" t="s">
        <v>9021</v>
      </c>
      <c r="C3789" s="5" t="s">
        <v>85</v>
      </c>
      <c r="D3789" s="5" t="s">
        <v>86</v>
      </c>
      <c r="E3789" s="5" t="s">
        <v>339</v>
      </c>
      <c r="F3789" s="9">
        <v>94</v>
      </c>
      <c r="G3789" s="9">
        <v>1040</v>
      </c>
      <c r="H3789" s="5" t="s">
        <v>20</v>
      </c>
      <c r="I3789" s="5" t="s">
        <v>9023</v>
      </c>
      <c r="J3789" s="12" t="str">
        <f>HYPERLINK("https://www.boe.es/gazeta/dias/1804/11/23/pdfs/GMD-1804-94.pdf#page=8","Abrir facsímil")</f>
        <v>Abrir facsímil</v>
      </c>
      <c r="K3789" s="15" t="s">
        <v>22</v>
      </c>
    </row>
    <row r="3790" spans="1:11" ht="42" customHeight="1">
      <c r="A3790" s="4" t="s">
        <v>9024</v>
      </c>
      <c r="B3790" s="5" t="s">
        <v>9025</v>
      </c>
      <c r="C3790" s="5" t="s">
        <v>57</v>
      </c>
      <c r="D3790" s="5" t="s">
        <v>58</v>
      </c>
      <c r="E3790" s="5" t="s">
        <v>19</v>
      </c>
      <c r="F3790" s="9">
        <v>60</v>
      </c>
      <c r="G3790" s="9">
        <v>661</v>
      </c>
      <c r="H3790" s="5" t="s">
        <v>20</v>
      </c>
      <c r="I3790" s="5" t="s">
        <v>9026</v>
      </c>
      <c r="J3790" s="12" t="str">
        <f>HYPERLINK("https://www.boe.es/gazeta/dias/1804/07/27/pdfs/GMD-1804-60.pdf#page=3","Abrir facsímil")</f>
        <v>Abrir facsímil</v>
      </c>
      <c r="K3790" s="15" t="s">
        <v>22</v>
      </c>
    </row>
    <row r="3791" spans="1:11" ht="42" customHeight="1">
      <c r="A3791" s="4" t="s">
        <v>9027</v>
      </c>
      <c r="B3791" s="5" t="s">
        <v>9028</v>
      </c>
      <c r="C3791" s="5" t="s">
        <v>65</v>
      </c>
      <c r="D3791" s="5" t="s">
        <v>66</v>
      </c>
      <c r="E3791" s="5" t="s">
        <v>111</v>
      </c>
      <c r="F3791" s="9">
        <v>40</v>
      </c>
      <c r="G3791" s="9">
        <v>449</v>
      </c>
      <c r="H3791" s="5" t="s">
        <v>20</v>
      </c>
      <c r="I3791" s="5" t="s">
        <v>9029</v>
      </c>
      <c r="J3791" s="12" t="str">
        <f>HYPERLINK("https://www.boe.es/gazeta/dias/1804/05/18/pdfs/GMD-1804-40.pdf#page=11","Abrir facsímil")</f>
        <v>Abrir facsímil</v>
      </c>
      <c r="K3791" s="15" t="s">
        <v>22</v>
      </c>
    </row>
    <row r="3792" spans="1:11" ht="42" customHeight="1">
      <c r="A3792" s="4" t="s">
        <v>9030</v>
      </c>
      <c r="B3792" s="5" t="s">
        <v>9031</v>
      </c>
      <c r="C3792" s="5" t="s">
        <v>120</v>
      </c>
      <c r="D3792" s="5" t="s">
        <v>121</v>
      </c>
      <c r="E3792" s="5" t="s">
        <v>33</v>
      </c>
      <c r="F3792" s="9">
        <v>48</v>
      </c>
      <c r="G3792" s="9" t="s">
        <v>819</v>
      </c>
      <c r="H3792" s="5" t="s">
        <v>20</v>
      </c>
      <c r="I3792" s="5" t="s">
        <v>9032</v>
      </c>
      <c r="J3792" s="12" t="str">
        <f>HYPERLINK("https://www.boe.es/gazeta/dias/1804/06/15/pdfs/GMD-C-1804-48.pdf#page=4","Abrir facsímil")</f>
        <v>Abrir facsímil</v>
      </c>
      <c r="K3792" s="15" t="s">
        <v>22</v>
      </c>
    </row>
    <row r="3793" spans="1:11" ht="42" customHeight="1">
      <c r="A3793" s="4" t="s">
        <v>9033</v>
      </c>
      <c r="B3793" s="5" t="s">
        <v>9034</v>
      </c>
      <c r="C3793" s="5" t="s">
        <v>27</v>
      </c>
      <c r="D3793" s="5" t="s">
        <v>28</v>
      </c>
      <c r="E3793" s="5" t="s">
        <v>132</v>
      </c>
      <c r="F3793" s="9">
        <v>52</v>
      </c>
      <c r="G3793" s="9">
        <v>573</v>
      </c>
      <c r="H3793" s="5" t="s">
        <v>20</v>
      </c>
      <c r="I3793" s="5" t="s">
        <v>9035</v>
      </c>
      <c r="J3793" s="12" t="str">
        <f>HYPERLINK("https://www.boe.es/gazeta/dias/1804/06/29/pdfs/GMD-1804-52.pdf#page=7","Abrir facsímil")</f>
        <v>Abrir facsímil</v>
      </c>
      <c r="K3793" s="15" t="s">
        <v>22</v>
      </c>
    </row>
    <row r="3794" spans="1:11" ht="42" customHeight="1">
      <c r="A3794" s="4" t="s">
        <v>9036</v>
      </c>
      <c r="B3794" s="5" t="s">
        <v>9036</v>
      </c>
      <c r="C3794" s="5" t="s">
        <v>17</v>
      </c>
      <c r="D3794" s="5" t="s">
        <v>18</v>
      </c>
      <c r="E3794" s="5" t="s">
        <v>199</v>
      </c>
      <c r="F3794" s="9">
        <v>46</v>
      </c>
      <c r="G3794" s="9">
        <v>510</v>
      </c>
      <c r="H3794" s="5" t="s">
        <v>20</v>
      </c>
      <c r="I3794" s="5" t="s">
        <v>9037</v>
      </c>
      <c r="J3794" s="12" t="str">
        <f>HYPERLINK("https://www.boe.es/gazeta/dias/1804/06/08/pdfs/GMD-1804-46.pdf#page=8","Abrir facsímil")</f>
        <v>Abrir facsímil</v>
      </c>
      <c r="K3794" s="15" t="s">
        <v>22</v>
      </c>
    </row>
    <row r="3795" spans="1:11" ht="42" customHeight="1">
      <c r="A3795" s="4" t="s">
        <v>9038</v>
      </c>
      <c r="B3795" s="5" t="s">
        <v>9039</v>
      </c>
      <c r="C3795" s="5" t="s">
        <v>85</v>
      </c>
      <c r="D3795" s="5" t="s">
        <v>86</v>
      </c>
      <c r="E3795" s="5" t="s">
        <v>272</v>
      </c>
      <c r="F3795" s="9">
        <v>30</v>
      </c>
      <c r="G3795" s="9">
        <v>330</v>
      </c>
      <c r="H3795" s="5" t="s">
        <v>20</v>
      </c>
      <c r="I3795" s="5" t="s">
        <v>9040</v>
      </c>
      <c r="J3795" s="12" t="str">
        <f>HYPERLINK("https://www.boe.es/gazeta/dias/1804/04/13/pdfs/GMD-1804-30.pdf#page=8","Abrir facsímil")</f>
        <v>Abrir facsímil</v>
      </c>
      <c r="K3795" s="15" t="s">
        <v>22</v>
      </c>
    </row>
    <row r="3796" spans="1:11" ht="42" customHeight="1">
      <c r="A3796" s="4" t="s">
        <v>9041</v>
      </c>
      <c r="B3796" s="5" t="s">
        <v>9042</v>
      </c>
      <c r="C3796" s="5" t="s">
        <v>27</v>
      </c>
      <c r="D3796" s="5" t="s">
        <v>28</v>
      </c>
      <c r="E3796" s="5" t="s">
        <v>678</v>
      </c>
      <c r="F3796" s="9">
        <v>104</v>
      </c>
      <c r="G3796" s="9">
        <v>1162</v>
      </c>
      <c r="H3796" s="5" t="s">
        <v>20</v>
      </c>
      <c r="I3796" s="5" t="s">
        <v>9043</v>
      </c>
      <c r="J3796" s="12" t="str">
        <f>HYPERLINK("https://www.boe.es/gazeta/dias/1804/12/28/pdfs/GMD-1804-104.pdf#page=10","Abrir facsímil")</f>
        <v>Abrir facsímil</v>
      </c>
      <c r="K3796" s="15" t="s">
        <v>22</v>
      </c>
    </row>
    <row r="3797" spans="1:11" ht="42" customHeight="1">
      <c r="A3797" s="4" t="s">
        <v>9044</v>
      </c>
      <c r="B3797" s="5" t="s">
        <v>9045</v>
      </c>
      <c r="C3797" s="5" t="s">
        <v>27</v>
      </c>
      <c r="D3797" s="5" t="s">
        <v>28</v>
      </c>
      <c r="E3797" s="5" t="s">
        <v>497</v>
      </c>
      <c r="F3797" s="9">
        <v>25</v>
      </c>
      <c r="G3797" s="9">
        <v>285</v>
      </c>
      <c r="H3797" s="5" t="s">
        <v>20</v>
      </c>
      <c r="I3797" s="5" t="s">
        <v>9046</v>
      </c>
      <c r="J3797" s="12" t="str">
        <f>HYPERLINK("https://www.boe.es/gazeta/dias/1804/03/27/pdfs/GMD-1804-25.pdf#page=7","Abrir facsímil")</f>
        <v>Abrir facsímil</v>
      </c>
      <c r="K3797" s="15" t="s">
        <v>22</v>
      </c>
    </row>
    <row r="3798" spans="1:11" ht="42" customHeight="1">
      <c r="A3798" s="4" t="s">
        <v>9047</v>
      </c>
      <c r="B3798" s="5" t="s">
        <v>9048</v>
      </c>
      <c r="C3798" s="5" t="s">
        <v>27</v>
      </c>
      <c r="D3798" s="5" t="s">
        <v>28</v>
      </c>
      <c r="E3798" s="5" t="s">
        <v>109</v>
      </c>
      <c r="F3798" s="9">
        <v>35</v>
      </c>
      <c r="G3798" s="9">
        <v>387</v>
      </c>
      <c r="H3798" s="5" t="s">
        <v>20</v>
      </c>
      <c r="I3798" s="5" t="s">
        <v>9049</v>
      </c>
      <c r="J3798" s="12" t="str">
        <f>HYPERLINK("https://www.boe.es/gazeta/dias/1804/05/01/pdfs/GMD-1804-35.pdf#page=9","Abrir facsímil")</f>
        <v>Abrir facsímil</v>
      </c>
      <c r="K3798" s="15" t="s">
        <v>22</v>
      </c>
    </row>
    <row r="3799" spans="1:11" ht="42" customHeight="1">
      <c r="A3799" s="4" t="s">
        <v>9050</v>
      </c>
      <c r="B3799" s="5" t="s">
        <v>9051</v>
      </c>
      <c r="C3799" s="5" t="s">
        <v>65</v>
      </c>
      <c r="D3799" s="5" t="s">
        <v>66</v>
      </c>
      <c r="E3799" s="5" t="s">
        <v>484</v>
      </c>
      <c r="F3799" s="9">
        <v>53</v>
      </c>
      <c r="G3799" s="9">
        <v>590</v>
      </c>
      <c r="H3799" s="5" t="s">
        <v>20</v>
      </c>
      <c r="I3799" s="5" t="s">
        <v>9052</v>
      </c>
      <c r="J3799" s="12" t="str">
        <f>HYPERLINK("https://www.boe.es/gazeta/dias/1804/07/03/pdfs/GMD-1804-53.pdf#page=8","Abrir facsímil")</f>
        <v>Abrir facsímil</v>
      </c>
      <c r="K3799" s="15" t="s">
        <v>22</v>
      </c>
    </row>
    <row r="3800" spans="1:11" ht="42" customHeight="1">
      <c r="A3800" s="4" t="s">
        <v>9053</v>
      </c>
      <c r="B3800" s="5" t="s">
        <v>9054</v>
      </c>
      <c r="C3800" s="5" t="s">
        <v>65</v>
      </c>
      <c r="D3800" s="5" t="s">
        <v>66</v>
      </c>
      <c r="E3800" s="5" t="s">
        <v>782</v>
      </c>
      <c r="F3800" s="9">
        <v>75</v>
      </c>
      <c r="G3800" s="9">
        <v>840</v>
      </c>
      <c r="H3800" s="5" t="s">
        <v>20</v>
      </c>
      <c r="I3800" s="5" t="s">
        <v>9055</v>
      </c>
      <c r="J3800" s="12" t="str">
        <f>HYPERLINK("https://www.boe.es/gazeta/dias/1804/09/18/pdfs/GMD-1804-75.pdf#page=6","Abrir facsímil")</f>
        <v>Abrir facsímil</v>
      </c>
      <c r="K3800" s="15" t="s">
        <v>22</v>
      </c>
    </row>
    <row r="3801" spans="1:11" ht="42" customHeight="1">
      <c r="A3801" s="4" t="s">
        <v>9056</v>
      </c>
      <c r="B3801" s="5" t="s">
        <v>9057</v>
      </c>
      <c r="C3801" s="5" t="s">
        <v>27</v>
      </c>
      <c r="D3801" s="5" t="s">
        <v>28</v>
      </c>
      <c r="E3801" s="5" t="s">
        <v>143</v>
      </c>
      <c r="F3801" s="9">
        <v>87</v>
      </c>
      <c r="G3801" s="9">
        <v>963</v>
      </c>
      <c r="H3801" s="5" t="s">
        <v>20</v>
      </c>
      <c r="I3801" s="5" t="s">
        <v>9058</v>
      </c>
      <c r="J3801" s="12" t="str">
        <f>HYPERLINK("https://www.boe.es/gazeta/dias/1804/10/30/pdfs/GMD-1804-87.pdf#page=7","Abrir facsímil")</f>
        <v>Abrir facsímil</v>
      </c>
      <c r="K3801" s="15" t="s">
        <v>22</v>
      </c>
    </row>
    <row r="3802" spans="1:11" ht="42" customHeight="1">
      <c r="A3802" s="4" t="s">
        <v>9059</v>
      </c>
      <c r="B3802" s="5" t="s">
        <v>9060</v>
      </c>
      <c r="C3802" s="5" t="s">
        <v>27</v>
      </c>
      <c r="D3802" s="5" t="s">
        <v>28</v>
      </c>
      <c r="E3802" s="5" t="s">
        <v>132</v>
      </c>
      <c r="F3802" s="9">
        <v>52</v>
      </c>
      <c r="G3802" s="9">
        <v>570</v>
      </c>
      <c r="H3802" s="5" t="s">
        <v>20</v>
      </c>
      <c r="I3802" s="5" t="s">
        <v>9061</v>
      </c>
      <c r="J3802" s="12" t="str">
        <f>HYPERLINK("https://www.boe.es/gazeta/dias/1804/06/29/pdfs/GMD-1804-52.pdf#page=4","Abrir facsímil")</f>
        <v>Abrir facsímil</v>
      </c>
      <c r="K3802" s="15" t="s">
        <v>22</v>
      </c>
    </row>
    <row r="3803" spans="1:11" ht="42" customHeight="1">
      <c r="A3803" s="4" t="s">
        <v>9059</v>
      </c>
      <c r="B3803" s="5" t="s">
        <v>9060</v>
      </c>
      <c r="C3803" s="5" t="s">
        <v>57</v>
      </c>
      <c r="D3803" s="5" t="s">
        <v>58</v>
      </c>
      <c r="E3803" s="5" t="s">
        <v>212</v>
      </c>
      <c r="F3803" s="9">
        <v>89</v>
      </c>
      <c r="G3803" s="9">
        <v>986</v>
      </c>
      <c r="H3803" s="5" t="s">
        <v>20</v>
      </c>
      <c r="I3803" s="5" t="s">
        <v>9062</v>
      </c>
      <c r="J3803" s="12" t="str">
        <f>HYPERLINK("https://www.boe.es/gazeta/dias/1804/11/06/pdfs/GMD-1804-89.pdf#page=6","Abrir facsímil")</f>
        <v>Abrir facsímil</v>
      </c>
      <c r="K3803" s="15" t="s">
        <v>22</v>
      </c>
    </row>
    <row r="3804" spans="1:11" ht="42" customHeight="1">
      <c r="A3804" s="4" t="s">
        <v>9063</v>
      </c>
      <c r="B3804" s="5" t="s">
        <v>9063</v>
      </c>
      <c r="C3804" s="5" t="s">
        <v>27</v>
      </c>
      <c r="D3804" s="5" t="s">
        <v>28</v>
      </c>
      <c r="E3804" s="5" t="s">
        <v>212</v>
      </c>
      <c r="F3804" s="9">
        <v>89</v>
      </c>
      <c r="G3804" s="9">
        <v>984</v>
      </c>
      <c r="H3804" s="5" t="s">
        <v>20</v>
      </c>
      <c r="I3804" s="5" t="s">
        <v>9064</v>
      </c>
      <c r="J3804" s="12" t="str">
        <f>HYPERLINK("https://www.boe.es/gazeta/dias/1804/11/06/pdfs/GMD-1804-89.pdf#page=4","Abrir facsímil")</f>
        <v>Abrir facsímil</v>
      </c>
      <c r="K3804" s="15" t="s">
        <v>22</v>
      </c>
    </row>
    <row r="3805" spans="1:11" ht="42" customHeight="1">
      <c r="A3805" s="4" t="s">
        <v>9065</v>
      </c>
      <c r="B3805" s="5" t="s">
        <v>9066</v>
      </c>
      <c r="C3805" s="5" t="s">
        <v>17</v>
      </c>
      <c r="D3805" s="5" t="s">
        <v>18</v>
      </c>
      <c r="E3805" s="5" t="s">
        <v>159</v>
      </c>
      <c r="F3805" s="9">
        <v>15</v>
      </c>
      <c r="G3805" s="9">
        <v>163</v>
      </c>
      <c r="H3805" s="5" t="s">
        <v>20</v>
      </c>
      <c r="I3805" s="5" t="s">
        <v>9067</v>
      </c>
      <c r="J3805" s="12" t="str">
        <f>HYPERLINK("https://www.boe.es/gazeta/dias/1804/02/21/pdfs/GMD-1804-15.pdf#page=7","Abrir facsímil")</f>
        <v>Abrir facsímil</v>
      </c>
      <c r="K3805" s="15" t="s">
        <v>22</v>
      </c>
    </row>
    <row r="3806" spans="1:11" ht="42" customHeight="1">
      <c r="A3806" s="4" t="s">
        <v>9068</v>
      </c>
      <c r="B3806" s="5" t="s">
        <v>9069</v>
      </c>
      <c r="C3806" s="5" t="s">
        <v>27</v>
      </c>
      <c r="D3806" s="5" t="s">
        <v>28</v>
      </c>
      <c r="E3806" s="5" t="s">
        <v>103</v>
      </c>
      <c r="F3806" s="9">
        <v>11</v>
      </c>
      <c r="G3806" s="9">
        <v>123</v>
      </c>
      <c r="H3806" s="5" t="s">
        <v>20</v>
      </c>
      <c r="I3806" s="5" t="s">
        <v>9070</v>
      </c>
      <c r="J3806" s="12" t="str">
        <f>HYPERLINK("https://www.boe.es/gazeta/dias/1804/02/07/pdfs/GMD-1804-11.pdf#page=11","Abrir facsímil")</f>
        <v>Abrir facsímil</v>
      </c>
      <c r="K3806" s="15" t="s">
        <v>22</v>
      </c>
    </row>
    <row r="3807" spans="1:11" ht="42" customHeight="1">
      <c r="A3807" s="4" t="s">
        <v>9071</v>
      </c>
      <c r="B3807" s="5" t="s">
        <v>9072</v>
      </c>
      <c r="C3807" s="5" t="s">
        <v>120</v>
      </c>
      <c r="D3807" s="5" t="s">
        <v>121</v>
      </c>
      <c r="E3807" s="5" t="s">
        <v>33</v>
      </c>
      <c r="F3807" s="9">
        <v>48</v>
      </c>
      <c r="G3807" s="9" t="s">
        <v>285</v>
      </c>
      <c r="H3807" s="5" t="s">
        <v>20</v>
      </c>
      <c r="I3807" s="5" t="s">
        <v>9073</v>
      </c>
      <c r="J3807" s="12" t="str">
        <f>HYPERLINK("https://www.boe.es/gazeta/dias/1804/06/15/pdfs/GMD-C-1804-48.pdf#page=2","Abrir facsímil")</f>
        <v>Abrir facsímil</v>
      </c>
      <c r="K3807" s="15" t="s">
        <v>22</v>
      </c>
    </row>
    <row r="3808" spans="1:11" ht="42" customHeight="1">
      <c r="A3808" s="4" t="s">
        <v>9074</v>
      </c>
      <c r="B3808" s="5" t="s">
        <v>9075</v>
      </c>
      <c r="C3808" s="5" t="s">
        <v>120</v>
      </c>
      <c r="D3808" s="5" t="s">
        <v>121</v>
      </c>
      <c r="E3808" s="5" t="s">
        <v>33</v>
      </c>
      <c r="F3808" s="9">
        <v>48</v>
      </c>
      <c r="G3808" s="9" t="s">
        <v>122</v>
      </c>
      <c r="H3808" s="5" t="s">
        <v>20</v>
      </c>
      <c r="I3808" s="5" t="s">
        <v>9076</v>
      </c>
      <c r="J3808" s="12" t="str">
        <f>HYPERLINK("https://www.boe.es/gazeta/dias/1804/06/15/pdfs/GMD-C-1804-48.pdf#page=3","Abrir facsímil")</f>
        <v>Abrir facsímil</v>
      </c>
      <c r="K3808" s="15" t="s">
        <v>22</v>
      </c>
    </row>
    <row r="3809" spans="1:11" ht="42" customHeight="1">
      <c r="A3809" s="4" t="s">
        <v>9077</v>
      </c>
      <c r="B3809" s="5" t="s">
        <v>9078</v>
      </c>
      <c r="C3809" s="5" t="s">
        <v>27</v>
      </c>
      <c r="D3809" s="5" t="s">
        <v>28</v>
      </c>
      <c r="E3809" s="5" t="s">
        <v>272</v>
      </c>
      <c r="F3809" s="9">
        <v>30</v>
      </c>
      <c r="G3809" s="9">
        <v>332</v>
      </c>
      <c r="H3809" s="5" t="s">
        <v>20</v>
      </c>
      <c r="I3809" s="5" t="s">
        <v>9079</v>
      </c>
      <c r="J3809" s="12" t="str">
        <f>HYPERLINK("https://www.boe.es/gazeta/dias/1804/04/13/pdfs/GMD-1804-30.pdf#page=10","Abrir facsímil")</f>
        <v>Abrir facsímil</v>
      </c>
      <c r="K3809" s="15" t="s">
        <v>22</v>
      </c>
    </row>
    <row r="3810" spans="1:11" ht="42" customHeight="1">
      <c r="A3810" s="4" t="s">
        <v>9080</v>
      </c>
      <c r="B3810" s="5" t="s">
        <v>9081</v>
      </c>
      <c r="C3810" s="5" t="s">
        <v>27</v>
      </c>
      <c r="D3810" s="5" t="s">
        <v>28</v>
      </c>
      <c r="E3810" s="5" t="s">
        <v>140</v>
      </c>
      <c r="F3810" s="9">
        <v>39</v>
      </c>
      <c r="G3810" s="9">
        <v>436</v>
      </c>
      <c r="H3810" s="5" t="s">
        <v>20</v>
      </c>
      <c r="I3810" s="5" t="s">
        <v>9082</v>
      </c>
      <c r="J3810" s="12" t="str">
        <f>HYPERLINK("https://www.boe.es/gazeta/dias/1804/05/15/pdfs/GMD-1804-39.pdf#page=10","Abrir facsímil")</f>
        <v>Abrir facsímil</v>
      </c>
      <c r="K3810" s="15" t="s">
        <v>22</v>
      </c>
    </row>
    <row r="3811" spans="1:11" ht="42" customHeight="1">
      <c r="A3811" s="4" t="s">
        <v>9083</v>
      </c>
      <c r="B3811" s="5" t="s">
        <v>9084</v>
      </c>
      <c r="C3811" s="5" t="s">
        <v>17</v>
      </c>
      <c r="D3811" s="5" t="s">
        <v>18</v>
      </c>
      <c r="E3811" s="5" t="s">
        <v>37</v>
      </c>
      <c r="F3811" s="9">
        <v>29</v>
      </c>
      <c r="G3811" s="9">
        <v>318</v>
      </c>
      <c r="H3811" s="5" t="s">
        <v>20</v>
      </c>
      <c r="I3811" s="5" t="s">
        <v>9085</v>
      </c>
      <c r="J3811" s="12" t="str">
        <f>HYPERLINK("https://www.boe.es/gazeta/dias/1804/04/10/pdfs/GMD-1804-29.pdf#page=8","Abrir facsímil")</f>
        <v>Abrir facsímil</v>
      </c>
      <c r="K3811" s="15" t="s">
        <v>22</v>
      </c>
    </row>
    <row r="3812" spans="1:11" ht="42" customHeight="1">
      <c r="A3812" s="4" t="s">
        <v>9086</v>
      </c>
      <c r="B3812" s="5" t="s">
        <v>9087</v>
      </c>
      <c r="C3812" s="5" t="s">
        <v>57</v>
      </c>
      <c r="D3812" s="5" t="s">
        <v>58</v>
      </c>
      <c r="E3812" s="5" t="s">
        <v>50</v>
      </c>
      <c r="F3812" s="9">
        <v>93</v>
      </c>
      <c r="G3812" s="9">
        <v>1028</v>
      </c>
      <c r="H3812" s="5" t="s">
        <v>20</v>
      </c>
      <c r="I3812" s="5" t="s">
        <v>9088</v>
      </c>
      <c r="J3812" s="12" t="str">
        <f>HYPERLINK("https://www.boe.es/gazeta/dias/1804/11/20/pdfs/GMD-1804-93.pdf#page=4","Abrir facsímil")</f>
        <v>Abrir facsímil</v>
      </c>
      <c r="K3812" s="15" t="s">
        <v>22</v>
      </c>
    </row>
    <row r="3813" spans="1:11" ht="42" customHeight="1">
      <c r="A3813" s="4" t="s">
        <v>9089</v>
      </c>
      <c r="B3813" s="5" t="s">
        <v>9090</v>
      </c>
      <c r="C3813" s="5" t="s">
        <v>27</v>
      </c>
      <c r="D3813" s="5" t="s">
        <v>28</v>
      </c>
      <c r="E3813" s="5" t="s">
        <v>19</v>
      </c>
      <c r="F3813" s="9">
        <v>60</v>
      </c>
      <c r="G3813" s="9">
        <v>665</v>
      </c>
      <c r="H3813" s="5" t="s">
        <v>20</v>
      </c>
      <c r="I3813" s="5" t="s">
        <v>9091</v>
      </c>
      <c r="J3813" s="12" t="str">
        <f>HYPERLINK("https://www.boe.es/gazeta/dias/1804/07/27/pdfs/GMD-1804-60.pdf#page=7","Abrir facsímil")</f>
        <v>Abrir facsímil</v>
      </c>
      <c r="K3813" s="15" t="s">
        <v>22</v>
      </c>
    </row>
    <row r="3814" spans="1:11" ht="42" customHeight="1">
      <c r="A3814" s="4" t="s">
        <v>9089</v>
      </c>
      <c r="B3814" s="5" t="s">
        <v>9090</v>
      </c>
      <c r="C3814" s="5" t="s">
        <v>27</v>
      </c>
      <c r="D3814" s="5" t="s">
        <v>28</v>
      </c>
      <c r="E3814" s="5" t="s">
        <v>43</v>
      </c>
      <c r="F3814" s="9">
        <v>84</v>
      </c>
      <c r="G3814" s="9">
        <v>928</v>
      </c>
      <c r="H3814" s="5" t="s">
        <v>20</v>
      </c>
      <c r="I3814" s="5" t="s">
        <v>9092</v>
      </c>
      <c r="J3814" s="12" t="str">
        <f>HYPERLINK("https://www.boe.es/gazeta/dias/1804/10/19/pdfs/GMD-1804-84.pdf#page=6","Abrir facsímil")</f>
        <v>Abrir facsímil</v>
      </c>
      <c r="K3814" s="15" t="s">
        <v>22</v>
      </c>
    </row>
    <row r="3815" spans="1:11" ht="42" customHeight="1">
      <c r="A3815" s="4" t="s">
        <v>9093</v>
      </c>
      <c r="B3815" s="5" t="s">
        <v>9094</v>
      </c>
      <c r="C3815" s="5" t="s">
        <v>85</v>
      </c>
      <c r="D3815" s="5" t="s">
        <v>86</v>
      </c>
      <c r="E3815" s="5" t="s">
        <v>367</v>
      </c>
      <c r="F3815" s="9">
        <v>64</v>
      </c>
      <c r="G3815" s="9">
        <v>717</v>
      </c>
      <c r="H3815" s="5" t="s">
        <v>20</v>
      </c>
      <c r="I3815" s="5" t="s">
        <v>9095</v>
      </c>
      <c r="J3815" s="12" t="str">
        <f>HYPERLINK("https://www.boe.es/gazeta/dias/1804/08/10/pdfs/GMD-1804-64.pdf#page=11","Abrir facsímil")</f>
        <v>Abrir facsímil</v>
      </c>
      <c r="K3815" s="15" t="s">
        <v>22</v>
      </c>
    </row>
    <row r="3816" spans="1:11" ht="42" customHeight="1">
      <c r="A3816" s="4" t="s">
        <v>9096</v>
      </c>
      <c r="B3816" s="5" t="s">
        <v>9097</v>
      </c>
      <c r="C3816" s="5" t="s">
        <v>27</v>
      </c>
      <c r="D3816" s="5" t="s">
        <v>28</v>
      </c>
      <c r="E3816" s="5" t="s">
        <v>91</v>
      </c>
      <c r="F3816" s="9">
        <v>72</v>
      </c>
      <c r="G3816" s="9">
        <v>806</v>
      </c>
      <c r="H3816" s="5" t="s">
        <v>20</v>
      </c>
      <c r="I3816" s="5" t="s">
        <v>9098</v>
      </c>
      <c r="J3816" s="12" t="str">
        <f>HYPERLINK("https://www.boe.es/gazeta/dias/1804/09/07/pdfs/GMD-1804-72.pdf#page=8","Abrir facsímil")</f>
        <v>Abrir facsímil</v>
      </c>
      <c r="K3816" s="15" t="s">
        <v>22</v>
      </c>
    </row>
    <row r="3817" spans="1:11" ht="42" customHeight="1">
      <c r="A3817" s="4" t="s">
        <v>9099</v>
      </c>
      <c r="B3817" s="5" t="s">
        <v>9100</v>
      </c>
      <c r="C3817" s="5" t="s">
        <v>27</v>
      </c>
      <c r="D3817" s="5" t="s">
        <v>28</v>
      </c>
      <c r="E3817" s="5" t="s">
        <v>308</v>
      </c>
      <c r="F3817" s="9">
        <v>96</v>
      </c>
      <c r="G3817" s="9">
        <v>1067</v>
      </c>
      <c r="H3817" s="5" t="s">
        <v>20</v>
      </c>
      <c r="I3817" s="5" t="s">
        <v>9101</v>
      </c>
      <c r="J3817" s="12" t="str">
        <f>HYPERLINK("https://www.boe.es/gazeta/dias/1804/11/30/pdfs/GMD-1804-96.pdf#page=7","Abrir facsímil")</f>
        <v>Abrir facsímil</v>
      </c>
      <c r="K3817" s="15" t="s">
        <v>22</v>
      </c>
    </row>
    <row r="3818" spans="1:11" ht="42" customHeight="1">
      <c r="A3818" s="4" t="s">
        <v>9102</v>
      </c>
      <c r="B3818" s="5" t="s">
        <v>9103</v>
      </c>
      <c r="C3818" s="5" t="s">
        <v>17</v>
      </c>
      <c r="D3818" s="5" t="s">
        <v>18</v>
      </c>
      <c r="E3818" s="5" t="s">
        <v>67</v>
      </c>
      <c r="F3818" s="9">
        <v>59</v>
      </c>
      <c r="G3818" s="9">
        <v>651</v>
      </c>
      <c r="H3818" s="5" t="s">
        <v>20</v>
      </c>
      <c r="I3818" s="5" t="s">
        <v>9104</v>
      </c>
      <c r="J3818" s="12" t="str">
        <f>HYPERLINK("https://www.boe.es/gazeta/dias/1804/07/24/pdfs/GMD-1804-59.pdf#page=5","Abrir facsímil")</f>
        <v>Abrir facsímil</v>
      </c>
      <c r="K3818" s="15" t="s">
        <v>22</v>
      </c>
    </row>
    <row r="3819" spans="1:11" ht="42" customHeight="1">
      <c r="A3819" s="4" t="s">
        <v>9102</v>
      </c>
      <c r="B3819" s="5" t="s">
        <v>9103</v>
      </c>
      <c r="C3819" s="5" t="s">
        <v>57</v>
      </c>
      <c r="D3819" s="5" t="s">
        <v>58</v>
      </c>
      <c r="E3819" s="5" t="s">
        <v>50</v>
      </c>
      <c r="F3819" s="9">
        <v>93</v>
      </c>
      <c r="G3819" s="9">
        <v>1028</v>
      </c>
      <c r="H3819" s="5" t="s">
        <v>20</v>
      </c>
      <c r="I3819" s="5" t="s">
        <v>9105</v>
      </c>
      <c r="J3819" s="12" t="str">
        <f>HYPERLINK("https://www.boe.es/gazeta/dias/1804/11/20/pdfs/GMD-1804-93.pdf#page=4","Abrir facsímil")</f>
        <v>Abrir facsímil</v>
      </c>
      <c r="K3819" s="15" t="s">
        <v>22</v>
      </c>
    </row>
    <row r="3820" spans="1:11" ht="42" customHeight="1">
      <c r="A3820" s="4" t="s">
        <v>9106</v>
      </c>
      <c r="B3820" s="5" t="s">
        <v>9107</v>
      </c>
      <c r="C3820" s="5" t="s">
        <v>17</v>
      </c>
      <c r="D3820" s="5" t="s">
        <v>18</v>
      </c>
      <c r="E3820" s="5" t="s">
        <v>1179</v>
      </c>
      <c r="F3820" s="9">
        <v>43</v>
      </c>
      <c r="G3820" s="9">
        <v>480</v>
      </c>
      <c r="H3820" s="5" t="s">
        <v>20</v>
      </c>
      <c r="I3820" s="5" t="s">
        <v>9108</v>
      </c>
      <c r="J3820" s="12" t="str">
        <f>HYPERLINK("https://www.boe.es/gazeta/dias/1804/05/29/pdfs/GMD-1804-43.pdf#page=6","Abrir facsímil")</f>
        <v>Abrir facsímil</v>
      </c>
      <c r="K3820" s="15" t="s">
        <v>22</v>
      </c>
    </row>
    <row r="3821" spans="1:11" ht="42" customHeight="1">
      <c r="A3821" s="4" t="s">
        <v>9109</v>
      </c>
      <c r="B3821" s="5" t="s">
        <v>9110</v>
      </c>
      <c r="C3821" s="5" t="s">
        <v>27</v>
      </c>
      <c r="D3821" s="5" t="s">
        <v>28</v>
      </c>
      <c r="E3821" s="5" t="s">
        <v>332</v>
      </c>
      <c r="F3821" s="9">
        <v>66</v>
      </c>
      <c r="G3821" s="9">
        <v>740</v>
      </c>
      <c r="H3821" s="5" t="s">
        <v>20</v>
      </c>
      <c r="I3821" s="5" t="s">
        <v>9111</v>
      </c>
      <c r="J3821" s="12" t="str">
        <f>HYPERLINK("https://www.boe.es/gazeta/dias/1804/08/17/pdfs/GMD-1804-66.pdf#page=6","Abrir facsímil")</f>
        <v>Abrir facsímil</v>
      </c>
      <c r="K3821" s="15" t="s">
        <v>22</v>
      </c>
    </row>
    <row r="3822" spans="1:11" ht="42" customHeight="1">
      <c r="A3822" s="4" t="s">
        <v>9109</v>
      </c>
      <c r="B3822" s="5" t="s">
        <v>9110</v>
      </c>
      <c r="C3822" s="5" t="s">
        <v>27</v>
      </c>
      <c r="D3822" s="5" t="s">
        <v>28</v>
      </c>
      <c r="E3822" s="5" t="s">
        <v>490</v>
      </c>
      <c r="F3822" s="9">
        <v>100</v>
      </c>
      <c r="G3822" s="9">
        <v>1119</v>
      </c>
      <c r="H3822" s="5" t="s">
        <v>20</v>
      </c>
      <c r="I3822" s="5" t="s">
        <v>9112</v>
      </c>
      <c r="J3822" s="12" t="str">
        <f>HYPERLINK("https://www.boe.es/gazeta/dias/1804/12/14/pdfs/GMD-1804-100.pdf#page=11","Abrir facsímil")</f>
        <v>Abrir facsímil</v>
      </c>
      <c r="K3822" s="15" t="s">
        <v>22</v>
      </c>
    </row>
    <row r="3823" spans="1:11" ht="42" customHeight="1">
      <c r="A3823" s="4" t="s">
        <v>9113</v>
      </c>
      <c r="B3823" s="5" t="s">
        <v>9114</v>
      </c>
      <c r="C3823" s="5" t="s">
        <v>27</v>
      </c>
      <c r="D3823" s="5" t="s">
        <v>28</v>
      </c>
      <c r="E3823" s="5" t="s">
        <v>272</v>
      </c>
      <c r="F3823" s="9">
        <v>30</v>
      </c>
      <c r="G3823" s="9">
        <v>332</v>
      </c>
      <c r="H3823" s="5" t="s">
        <v>20</v>
      </c>
      <c r="I3823" s="5" t="s">
        <v>9115</v>
      </c>
      <c r="J3823" s="12" t="str">
        <f>HYPERLINK("https://www.boe.es/gazeta/dias/1804/04/13/pdfs/GMD-1804-30.pdf#page=10","Abrir facsímil")</f>
        <v>Abrir facsímil</v>
      </c>
      <c r="K3823" s="15" t="s">
        <v>22</v>
      </c>
    </row>
    <row r="3824" spans="1:11" ht="42" customHeight="1">
      <c r="A3824" s="4" t="s">
        <v>9116</v>
      </c>
      <c r="B3824" s="5" t="s">
        <v>9117</v>
      </c>
      <c r="C3824" s="5" t="s">
        <v>262</v>
      </c>
      <c r="D3824" s="5" t="s">
        <v>263</v>
      </c>
      <c r="E3824" s="5" t="s">
        <v>398</v>
      </c>
      <c r="F3824" s="9">
        <v>22</v>
      </c>
      <c r="G3824" s="9">
        <v>250</v>
      </c>
      <c r="H3824" s="5" t="s">
        <v>20</v>
      </c>
      <c r="I3824" s="5" t="s">
        <v>9118</v>
      </c>
      <c r="J3824" s="12" t="str">
        <f>HYPERLINK("https://www.boe.es/gazeta/dias/1804/03/16/pdfs/GMD-C-1804-22.pdf#page=2","Abrir facsímil")</f>
        <v>Abrir facsímil</v>
      </c>
      <c r="K3824" s="15" t="s">
        <v>22</v>
      </c>
    </row>
    <row r="3825" spans="1:11" ht="42" customHeight="1">
      <c r="A3825" s="4" t="s">
        <v>9116</v>
      </c>
      <c r="B3825" s="5" t="s">
        <v>9117</v>
      </c>
      <c r="C3825" s="5" t="s">
        <v>262</v>
      </c>
      <c r="D3825" s="5" t="s">
        <v>263</v>
      </c>
      <c r="E3825" s="5" t="s">
        <v>666</v>
      </c>
      <c r="F3825" s="9">
        <v>57</v>
      </c>
      <c r="G3825" s="9">
        <v>636</v>
      </c>
      <c r="H3825" s="5" t="s">
        <v>20</v>
      </c>
      <c r="I3825" s="5" t="s">
        <v>9119</v>
      </c>
      <c r="J3825" s="12" t="str">
        <f>HYPERLINK("https://www.boe.es/gazeta/dias/1804/07/17/pdfs/GMD-C-1804-57.pdf#page=2","Abrir facsímil")</f>
        <v>Abrir facsímil</v>
      </c>
      <c r="K3825" s="15" t="s">
        <v>22</v>
      </c>
    </row>
    <row r="3826" spans="1:11" ht="42" customHeight="1">
      <c r="A3826" s="4" t="s">
        <v>9120</v>
      </c>
      <c r="B3826" s="5" t="s">
        <v>9121</v>
      </c>
      <c r="C3826" s="5" t="s">
        <v>65</v>
      </c>
      <c r="D3826" s="5" t="s">
        <v>66</v>
      </c>
      <c r="E3826" s="5" t="s">
        <v>111</v>
      </c>
      <c r="F3826" s="9">
        <v>40</v>
      </c>
      <c r="G3826" s="9">
        <v>449</v>
      </c>
      <c r="H3826" s="5" t="s">
        <v>20</v>
      </c>
      <c r="I3826" s="5" t="s">
        <v>9122</v>
      </c>
      <c r="J3826" s="12" t="str">
        <f>HYPERLINK("https://www.boe.es/gazeta/dias/1804/05/18/pdfs/GMD-1804-40.pdf#page=11","Abrir facsímil")</f>
        <v>Abrir facsímil</v>
      </c>
      <c r="K3826" s="15" t="s">
        <v>22</v>
      </c>
    </row>
    <row r="3827" spans="1:11" ht="42" customHeight="1">
      <c r="A3827" s="4" t="s">
        <v>9123</v>
      </c>
      <c r="B3827" s="5" t="s">
        <v>9123</v>
      </c>
      <c r="C3827" s="5" t="s">
        <v>85</v>
      </c>
      <c r="D3827" s="5" t="s">
        <v>86</v>
      </c>
      <c r="E3827" s="5" t="s">
        <v>1179</v>
      </c>
      <c r="F3827" s="9">
        <v>43</v>
      </c>
      <c r="G3827" s="9">
        <v>477</v>
      </c>
      <c r="H3827" s="5" t="s">
        <v>20</v>
      </c>
      <c r="I3827" s="5" t="s">
        <v>9124</v>
      </c>
      <c r="J3827" s="12" t="str">
        <f>HYPERLINK("https://www.boe.es/gazeta/dias/1804/05/29/pdfs/GMD-1804-43.pdf#page=3","Abrir facsímil")</f>
        <v>Abrir facsímil</v>
      </c>
      <c r="K3827" s="15" t="s">
        <v>22</v>
      </c>
    </row>
    <row r="3828" spans="1:11" ht="42" customHeight="1">
      <c r="A3828" s="4" t="s">
        <v>9125</v>
      </c>
      <c r="B3828" s="5" t="s">
        <v>9125</v>
      </c>
      <c r="C3828" s="5" t="s">
        <v>57</v>
      </c>
      <c r="D3828" s="5" t="s">
        <v>58</v>
      </c>
      <c r="E3828" s="5" t="s">
        <v>151</v>
      </c>
      <c r="F3828" s="9">
        <v>13</v>
      </c>
      <c r="G3828" s="9">
        <v>137</v>
      </c>
      <c r="H3828" s="5" t="s">
        <v>20</v>
      </c>
      <c r="I3828" s="5" t="s">
        <v>9126</v>
      </c>
      <c r="J3828" s="12" t="str">
        <f>HYPERLINK("https://www.boe.es/gazeta/dias/1804/02/14/pdfs/GMD-1804-13.pdf#page=1","Abrir facsímil")</f>
        <v>Abrir facsímil</v>
      </c>
      <c r="K3828" s="15" t="s">
        <v>22</v>
      </c>
    </row>
    <row r="3829" spans="1:11" ht="42" customHeight="1">
      <c r="A3829" s="4" t="s">
        <v>9127</v>
      </c>
      <c r="B3829" s="5" t="s">
        <v>9128</v>
      </c>
      <c r="C3829" s="5" t="s">
        <v>17</v>
      </c>
      <c r="D3829" s="5" t="s">
        <v>18</v>
      </c>
      <c r="E3829" s="5" t="s">
        <v>71</v>
      </c>
      <c r="F3829" s="9">
        <v>99</v>
      </c>
      <c r="G3829" s="9">
        <v>1107</v>
      </c>
      <c r="H3829" s="5" t="s">
        <v>20</v>
      </c>
      <c r="I3829" s="5" t="s">
        <v>9129</v>
      </c>
      <c r="J3829" s="12" t="str">
        <f>HYPERLINK("https://www.boe.es/gazeta/dias/1804/12/11/pdfs/GMD-1804-99.pdf#page=7","Abrir facsímil")</f>
        <v>Abrir facsímil</v>
      </c>
      <c r="K3829" s="15" t="s">
        <v>22</v>
      </c>
    </row>
    <row r="3830" spans="1:11" ht="42" customHeight="1">
      <c r="A3830" s="4" t="s">
        <v>9130</v>
      </c>
      <c r="B3830" s="5" t="s">
        <v>9130</v>
      </c>
      <c r="C3830" s="5" t="s">
        <v>57</v>
      </c>
      <c r="D3830" s="5" t="s">
        <v>58</v>
      </c>
      <c r="E3830" s="5" t="s">
        <v>736</v>
      </c>
      <c r="F3830" s="9">
        <v>83</v>
      </c>
      <c r="G3830" s="9">
        <v>912</v>
      </c>
      <c r="H3830" s="5" t="s">
        <v>20</v>
      </c>
      <c r="I3830" s="5" t="s">
        <v>9131</v>
      </c>
      <c r="J3830" s="12" t="str">
        <f>HYPERLINK("https://www.boe.es/gazeta/dias/1804/10/16/pdfs/GMD-1804-83.pdf#page=2","Abrir facsímil")</f>
        <v>Abrir facsímil</v>
      </c>
      <c r="K3830" s="15" t="s">
        <v>22</v>
      </c>
    </row>
    <row r="3831" spans="1:11" ht="42" customHeight="1">
      <c r="A3831" s="4" t="s">
        <v>9132</v>
      </c>
      <c r="B3831" s="5" t="s">
        <v>9133</v>
      </c>
      <c r="C3831" s="5" t="s">
        <v>27</v>
      </c>
      <c r="D3831" s="5" t="s">
        <v>28</v>
      </c>
      <c r="E3831" s="5" t="s">
        <v>466</v>
      </c>
      <c r="F3831" s="9">
        <v>76</v>
      </c>
      <c r="G3831" s="9">
        <v>846</v>
      </c>
      <c r="H3831" s="5" t="s">
        <v>20</v>
      </c>
      <c r="I3831" s="5" t="s">
        <v>9134</v>
      </c>
      <c r="J3831" s="12" t="str">
        <f>HYPERLINK("https://www.boe.es/gazeta/dias/1804/09/21/pdfs/GMD-1804-76.pdf#page=4","Abrir facsímil")</f>
        <v>Abrir facsímil</v>
      </c>
      <c r="K3831" s="15" t="s">
        <v>22</v>
      </c>
    </row>
    <row r="3832" spans="1:11" ht="42" customHeight="1">
      <c r="A3832" s="4" t="s">
        <v>9135</v>
      </c>
      <c r="B3832" s="5" t="s">
        <v>9136</v>
      </c>
      <c r="C3832" s="5" t="s">
        <v>17</v>
      </c>
      <c r="D3832" s="5" t="s">
        <v>18</v>
      </c>
      <c r="E3832" s="5" t="s">
        <v>71</v>
      </c>
      <c r="F3832" s="9">
        <v>99</v>
      </c>
      <c r="G3832" s="9">
        <v>1106</v>
      </c>
      <c r="H3832" s="5" t="s">
        <v>20</v>
      </c>
      <c r="I3832" s="5" t="s">
        <v>9137</v>
      </c>
      <c r="J3832" s="12" t="str">
        <f>HYPERLINK("https://www.boe.es/gazeta/dias/1804/12/11/pdfs/GMD-1804-99.pdf#page=6","Abrir facsímil")</f>
        <v>Abrir facsímil</v>
      </c>
      <c r="K3832" s="15" t="s">
        <v>22</v>
      </c>
    </row>
    <row r="3833" spans="1:11" ht="42" customHeight="1">
      <c r="A3833" s="4" t="s">
        <v>9138</v>
      </c>
      <c r="B3833" s="5" t="s">
        <v>9139</v>
      </c>
      <c r="C3833" s="5" t="s">
        <v>85</v>
      </c>
      <c r="D3833" s="5" t="s">
        <v>86</v>
      </c>
      <c r="E3833" s="5" t="s">
        <v>234</v>
      </c>
      <c r="F3833" s="9">
        <v>86</v>
      </c>
      <c r="G3833" s="9">
        <v>950</v>
      </c>
      <c r="H3833" s="5" t="s">
        <v>20</v>
      </c>
      <c r="I3833" s="5" t="s">
        <v>9140</v>
      </c>
      <c r="J3833" s="12" t="str">
        <f>HYPERLINK("https://www.boe.es/gazeta/dias/1804/10/26/pdfs/GMD-1804-86.pdf#page=8","Abrir facsímil")</f>
        <v>Abrir facsímil</v>
      </c>
      <c r="K3833" s="15" t="s">
        <v>22</v>
      </c>
    </row>
    <row r="3834" spans="1:11" ht="42" customHeight="1">
      <c r="A3834" s="4" t="s">
        <v>9141</v>
      </c>
      <c r="B3834" s="5" t="s">
        <v>9142</v>
      </c>
      <c r="C3834" s="5" t="s">
        <v>57</v>
      </c>
      <c r="D3834" s="5" t="s">
        <v>58</v>
      </c>
      <c r="E3834" s="5" t="s">
        <v>699</v>
      </c>
      <c r="F3834" s="9">
        <v>2</v>
      </c>
      <c r="G3834" s="9">
        <v>14</v>
      </c>
      <c r="H3834" s="5" t="s">
        <v>20</v>
      </c>
      <c r="I3834" s="5" t="s">
        <v>9143</v>
      </c>
      <c r="J3834" s="12" t="str">
        <f>HYPERLINK("https://www.boe.es/gazeta/dias/1804/01/06/pdfs/GMD-1804-2.pdf#page=2","Abrir facsímil")</f>
        <v>Abrir facsímil</v>
      </c>
      <c r="K3834" s="15" t="s">
        <v>22</v>
      </c>
    </row>
    <row r="3835" spans="1:11" ht="42" customHeight="1">
      <c r="A3835" s="4" t="s">
        <v>9144</v>
      </c>
      <c r="B3835" s="5" t="s">
        <v>9145</v>
      </c>
      <c r="C3835" s="5" t="s">
        <v>198</v>
      </c>
      <c r="D3835" s="5" t="s">
        <v>66</v>
      </c>
      <c r="E3835" s="5" t="s">
        <v>54</v>
      </c>
      <c r="F3835" s="9">
        <v>63</v>
      </c>
      <c r="G3835" s="9">
        <v>702</v>
      </c>
      <c r="H3835" s="5" t="s">
        <v>20</v>
      </c>
      <c r="I3835" s="5" t="s">
        <v>9146</v>
      </c>
      <c r="J3835" s="12" t="str">
        <f>HYPERLINK("https://www.boe.es/gazeta/dias/1804/08/07/pdfs/GMD-1804-63.pdf#page=12","Abrir facsímil")</f>
        <v>Abrir facsímil</v>
      </c>
      <c r="K3835" s="15" t="s">
        <v>22</v>
      </c>
    </row>
    <row r="3836" spans="1:11" ht="42" customHeight="1">
      <c r="A3836" s="4" t="s">
        <v>9147</v>
      </c>
      <c r="B3836" s="5" t="s">
        <v>9148</v>
      </c>
      <c r="C3836" s="5" t="s">
        <v>17</v>
      </c>
      <c r="D3836" s="5" t="s">
        <v>18</v>
      </c>
      <c r="E3836" s="5" t="s">
        <v>71</v>
      </c>
      <c r="F3836" s="9">
        <v>99</v>
      </c>
      <c r="G3836" s="9">
        <v>1103</v>
      </c>
      <c r="H3836" s="5" t="s">
        <v>20</v>
      </c>
      <c r="I3836" s="5" t="s">
        <v>9149</v>
      </c>
      <c r="J3836" s="12" t="str">
        <f>HYPERLINK("https://www.boe.es/gazeta/dias/1804/12/11/pdfs/GMD-1804-99.pdf#page=3","Abrir facsímil")</f>
        <v>Abrir facsímil</v>
      </c>
      <c r="K3836" s="15" t="s">
        <v>22</v>
      </c>
    </row>
    <row r="3837" spans="1:11" ht="42" customHeight="1">
      <c r="A3837" s="4" t="s">
        <v>9150</v>
      </c>
      <c r="B3837" s="5" t="s">
        <v>9151</v>
      </c>
      <c r="C3837" s="5" t="s">
        <v>27</v>
      </c>
      <c r="D3837" s="5" t="s">
        <v>28</v>
      </c>
      <c r="E3837" s="5" t="s">
        <v>206</v>
      </c>
      <c r="F3837" s="9">
        <v>44</v>
      </c>
      <c r="G3837" s="9">
        <v>489</v>
      </c>
      <c r="H3837" s="5" t="s">
        <v>20</v>
      </c>
      <c r="I3837" s="5" t="s">
        <v>9152</v>
      </c>
      <c r="J3837" s="12" t="str">
        <f>HYPERLINK("https://www.boe.es/gazeta/dias/1804/06/01/pdfs/GMD-1804-44.pdf#page=7","Abrir facsímil")</f>
        <v>Abrir facsímil</v>
      </c>
      <c r="K3837" s="15" t="s">
        <v>22</v>
      </c>
    </row>
    <row r="3838" spans="1:11" ht="42" customHeight="1">
      <c r="A3838" s="4" t="s">
        <v>9153</v>
      </c>
      <c r="B3838" s="5" t="s">
        <v>9154</v>
      </c>
      <c r="C3838" s="5" t="s">
        <v>17</v>
      </c>
      <c r="D3838" s="5" t="s">
        <v>18</v>
      </c>
      <c r="E3838" s="5" t="s">
        <v>71</v>
      </c>
      <c r="F3838" s="9">
        <v>99</v>
      </c>
      <c r="G3838" s="9">
        <v>1107</v>
      </c>
      <c r="H3838" s="5" t="s">
        <v>20</v>
      </c>
      <c r="I3838" s="5" t="s">
        <v>9155</v>
      </c>
      <c r="J3838" s="12" t="str">
        <f>HYPERLINK("https://www.boe.es/gazeta/dias/1804/12/11/pdfs/GMD-1804-99.pdf#page=7","Abrir facsímil")</f>
        <v>Abrir facsímil</v>
      </c>
      <c r="K3838" s="15" t="s">
        <v>22</v>
      </c>
    </row>
    <row r="3839" spans="1:11" ht="42" customHeight="1">
      <c r="A3839" s="4" t="s">
        <v>9156</v>
      </c>
      <c r="B3839" s="5" t="s">
        <v>9156</v>
      </c>
      <c r="C3839" s="5" t="s">
        <v>65</v>
      </c>
      <c r="D3839" s="5" t="s">
        <v>66</v>
      </c>
      <c r="E3839" s="5" t="s">
        <v>67</v>
      </c>
      <c r="F3839" s="9">
        <v>59</v>
      </c>
      <c r="G3839" s="9">
        <v>656</v>
      </c>
      <c r="H3839" s="5" t="s">
        <v>20</v>
      </c>
      <c r="I3839" s="5" t="s">
        <v>9157</v>
      </c>
      <c r="J3839" s="12" t="str">
        <f>HYPERLINK("https://www.boe.es/gazeta/dias/1804/07/24/pdfs/GMD-1804-59.pdf#page=10","Abrir facsímil")</f>
        <v>Abrir facsímil</v>
      </c>
      <c r="K3839" s="15" t="s">
        <v>22</v>
      </c>
    </row>
    <row r="3840" spans="1:11" ht="42" customHeight="1">
      <c r="A3840" s="4" t="s">
        <v>9158</v>
      </c>
      <c r="B3840" s="5" t="s">
        <v>9159</v>
      </c>
      <c r="C3840" s="5" t="s">
        <v>17</v>
      </c>
      <c r="D3840" s="5" t="s">
        <v>18</v>
      </c>
      <c r="E3840" s="5" t="s">
        <v>81</v>
      </c>
      <c r="F3840" s="9">
        <v>98</v>
      </c>
      <c r="G3840" s="9">
        <v>1092</v>
      </c>
      <c r="H3840" s="5" t="s">
        <v>20</v>
      </c>
      <c r="I3840" s="5" t="s">
        <v>9160</v>
      </c>
      <c r="J3840" s="12" t="str">
        <f>HYPERLINK("https://www.boe.es/gazeta/dias/1804/12/07/pdfs/GMD-1804-98.pdf#page=8","Abrir facsímil")</f>
        <v>Abrir facsímil</v>
      </c>
      <c r="K3840" s="15" t="s">
        <v>22</v>
      </c>
    </row>
    <row r="3841" spans="1:11" ht="42" customHeight="1">
      <c r="A3841" s="4" t="s">
        <v>9161</v>
      </c>
      <c r="B3841" s="5" t="s">
        <v>9161</v>
      </c>
      <c r="C3841" s="5" t="s">
        <v>17</v>
      </c>
      <c r="D3841" s="5" t="s">
        <v>18</v>
      </c>
      <c r="E3841" s="5" t="s">
        <v>71</v>
      </c>
      <c r="F3841" s="9">
        <v>99</v>
      </c>
      <c r="G3841" s="9">
        <v>1106</v>
      </c>
      <c r="H3841" s="5" t="s">
        <v>20</v>
      </c>
      <c r="I3841" s="5" t="s">
        <v>9162</v>
      </c>
      <c r="J3841" s="12" t="str">
        <f>HYPERLINK("https://www.boe.es/gazeta/dias/1804/12/11/pdfs/GMD-1804-99.pdf#page=6","Abrir facsímil")</f>
        <v>Abrir facsímil</v>
      </c>
      <c r="K3841" s="15" t="s">
        <v>22</v>
      </c>
    </row>
    <row r="3842" spans="1:11" ht="42" customHeight="1">
      <c r="A3842" s="4" t="s">
        <v>9163</v>
      </c>
      <c r="B3842" s="5" t="s">
        <v>9163</v>
      </c>
      <c r="C3842" s="5" t="s">
        <v>198</v>
      </c>
      <c r="D3842" s="5" t="s">
        <v>66</v>
      </c>
      <c r="E3842" s="5" t="s">
        <v>421</v>
      </c>
      <c r="F3842" s="9">
        <v>47</v>
      </c>
      <c r="G3842" s="9">
        <v>528</v>
      </c>
      <c r="H3842" s="5" t="s">
        <v>20</v>
      </c>
      <c r="I3842" s="5" t="s">
        <v>9164</v>
      </c>
      <c r="J3842" s="12" t="str">
        <f>HYPERLINK("https://www.boe.es/gazeta/dias/1804/06/12/pdfs/GMD-1804-47.pdf#page=10","Abrir facsímil")</f>
        <v>Abrir facsímil</v>
      </c>
      <c r="K3842" s="15" t="s">
        <v>22</v>
      </c>
    </row>
    <row r="3843" spans="1:11" ht="42" customHeight="1">
      <c r="A3843" s="4" t="s">
        <v>9165</v>
      </c>
      <c r="B3843" s="5" t="s">
        <v>9165</v>
      </c>
      <c r="C3843" s="5" t="s">
        <v>27</v>
      </c>
      <c r="D3843" s="5" t="s">
        <v>28</v>
      </c>
      <c r="E3843" s="5" t="s">
        <v>576</v>
      </c>
      <c r="F3843" s="9">
        <v>85</v>
      </c>
      <c r="G3843" s="9">
        <v>933</v>
      </c>
      <c r="H3843" s="5" t="s">
        <v>20</v>
      </c>
      <c r="I3843" s="5" t="s">
        <v>9166</v>
      </c>
      <c r="J3843" s="12" t="str">
        <f>HYPERLINK("https://www.boe.es/gazeta/dias/1804/10/23/pdfs/GMD-1804-85.pdf#page=3","Abrir facsímil")</f>
        <v>Abrir facsímil</v>
      </c>
      <c r="K3843" s="15" t="s">
        <v>22</v>
      </c>
    </row>
    <row r="3844" spans="1:11" ht="42" customHeight="1">
      <c r="A3844" s="4" t="s">
        <v>9167</v>
      </c>
      <c r="B3844" s="5" t="s">
        <v>9168</v>
      </c>
      <c r="C3844" s="5" t="s">
        <v>17</v>
      </c>
      <c r="D3844" s="5" t="s">
        <v>18</v>
      </c>
      <c r="E3844" s="5" t="s">
        <v>421</v>
      </c>
      <c r="F3844" s="9">
        <v>47</v>
      </c>
      <c r="G3844" s="9">
        <v>528</v>
      </c>
      <c r="H3844" s="5" t="s">
        <v>20</v>
      </c>
      <c r="I3844" s="5" t="s">
        <v>9169</v>
      </c>
      <c r="J3844" s="12" t="str">
        <f>HYPERLINK("https://www.boe.es/gazeta/dias/1804/06/12/pdfs/GMD-1804-47.pdf#page=10","Abrir facsímil")</f>
        <v>Abrir facsímil</v>
      </c>
      <c r="K3844" s="15" t="s">
        <v>22</v>
      </c>
    </row>
    <row r="3845" spans="1:11" ht="42" customHeight="1">
      <c r="A3845" s="4" t="s">
        <v>9170</v>
      </c>
      <c r="B3845" s="5" t="s">
        <v>9171</v>
      </c>
      <c r="C3845" s="5" t="s">
        <v>27</v>
      </c>
      <c r="D3845" s="5" t="s">
        <v>28</v>
      </c>
      <c r="E3845" s="5" t="s">
        <v>326</v>
      </c>
      <c r="F3845" s="9">
        <v>69</v>
      </c>
      <c r="G3845" s="9">
        <v>776</v>
      </c>
      <c r="H3845" s="5" t="s">
        <v>20</v>
      </c>
      <c r="I3845" s="5" t="s">
        <v>9172</v>
      </c>
      <c r="J3845" s="12" t="str">
        <f>HYPERLINK("https://www.boe.es/gazeta/dias/1804/08/28/pdfs/GMD-1804-69.pdf#page=10","Abrir facsímil")</f>
        <v>Abrir facsímil</v>
      </c>
      <c r="K3845" s="15" t="s">
        <v>22</v>
      </c>
    </row>
    <row r="3846" spans="1:11" ht="42" customHeight="1">
      <c r="A3846" s="4" t="s">
        <v>9173</v>
      </c>
      <c r="B3846" s="5" t="s">
        <v>9173</v>
      </c>
      <c r="C3846" s="5" t="s">
        <v>57</v>
      </c>
      <c r="D3846" s="5" t="s">
        <v>58</v>
      </c>
      <c r="E3846" s="5" t="s">
        <v>81</v>
      </c>
      <c r="F3846" s="9">
        <v>98</v>
      </c>
      <c r="G3846" s="9">
        <v>1087</v>
      </c>
      <c r="H3846" s="5" t="s">
        <v>20</v>
      </c>
      <c r="I3846" s="5" t="s">
        <v>9174</v>
      </c>
      <c r="J3846" s="12" t="str">
        <f>HYPERLINK("https://www.boe.es/gazeta/dias/1804/12/07/pdfs/GMD-1804-98.pdf#page=3","Abrir facsímil")</f>
        <v>Abrir facsímil</v>
      </c>
      <c r="K3846" s="15" t="s">
        <v>22</v>
      </c>
    </row>
    <row r="3847" spans="1:11" ht="42" customHeight="1">
      <c r="A3847" s="4" t="s">
        <v>9175</v>
      </c>
      <c r="B3847" s="5" t="s">
        <v>9176</v>
      </c>
      <c r="C3847" s="5" t="s">
        <v>65</v>
      </c>
      <c r="D3847" s="5" t="s">
        <v>66</v>
      </c>
      <c r="E3847" s="5" t="s">
        <v>670</v>
      </c>
      <c r="F3847" s="9">
        <v>41</v>
      </c>
      <c r="G3847" s="9">
        <v>460</v>
      </c>
      <c r="H3847" s="5" t="s">
        <v>20</v>
      </c>
      <c r="I3847" s="5" t="s">
        <v>9177</v>
      </c>
      <c r="J3847" s="12" t="str">
        <f>HYPERLINK("https://www.boe.es/gazeta/dias/1804/05/22/pdfs/GMD-1804-41.pdf#page=10","Abrir facsímil")</f>
        <v>Abrir facsímil</v>
      </c>
      <c r="K3847" s="15" t="s">
        <v>22</v>
      </c>
    </row>
    <row r="3848" spans="1:11" ht="42" customHeight="1">
      <c r="A3848" s="4" t="s">
        <v>9178</v>
      </c>
      <c r="B3848" s="5" t="s">
        <v>9179</v>
      </c>
      <c r="C3848" s="5" t="s">
        <v>65</v>
      </c>
      <c r="D3848" s="5" t="s">
        <v>66</v>
      </c>
      <c r="E3848" s="5" t="s">
        <v>320</v>
      </c>
      <c r="F3848" s="9">
        <v>31</v>
      </c>
      <c r="G3848" s="9">
        <v>343</v>
      </c>
      <c r="H3848" s="5" t="s">
        <v>20</v>
      </c>
      <c r="I3848" s="5" t="s">
        <v>9180</v>
      </c>
      <c r="J3848" s="12" t="str">
        <f>HYPERLINK("https://www.boe.es/gazeta/dias/1804/04/17/pdfs/GMD-1804-31.pdf#page=9","Abrir facsímil")</f>
        <v>Abrir facsímil</v>
      </c>
      <c r="K3848" s="15" t="s">
        <v>22</v>
      </c>
    </row>
    <row r="3849" spans="1:11" ht="42" customHeight="1">
      <c r="A3849" s="4" t="s">
        <v>9178</v>
      </c>
      <c r="B3849" s="5" t="s">
        <v>9179</v>
      </c>
      <c r="C3849" s="5" t="s">
        <v>27</v>
      </c>
      <c r="D3849" s="5" t="s">
        <v>28</v>
      </c>
      <c r="E3849" s="5" t="s">
        <v>623</v>
      </c>
      <c r="F3849" s="9">
        <v>51</v>
      </c>
      <c r="G3849" s="9">
        <v>561</v>
      </c>
      <c r="H3849" s="5" t="s">
        <v>20</v>
      </c>
      <c r="I3849" s="5" t="s">
        <v>9181</v>
      </c>
      <c r="J3849" s="12" t="str">
        <f>HYPERLINK("https://www.boe.es/gazeta/dias/1804/06/26/pdfs/GMD-1804-51.pdf#page=7","Abrir facsímil")</f>
        <v>Abrir facsímil</v>
      </c>
      <c r="K3849" s="15" t="s">
        <v>22</v>
      </c>
    </row>
    <row r="3850" spans="1:11" ht="42" customHeight="1">
      <c r="A3850" s="4" t="s">
        <v>9182</v>
      </c>
      <c r="B3850" s="5" t="s">
        <v>9182</v>
      </c>
      <c r="C3850" s="5" t="s">
        <v>57</v>
      </c>
      <c r="D3850" s="5" t="s">
        <v>58</v>
      </c>
      <c r="E3850" s="5" t="s">
        <v>1337</v>
      </c>
      <c r="F3850" s="9">
        <v>7</v>
      </c>
      <c r="G3850" s="9">
        <v>66</v>
      </c>
      <c r="H3850" s="5" t="s">
        <v>20</v>
      </c>
      <c r="I3850" s="5" t="s">
        <v>9183</v>
      </c>
      <c r="J3850" s="12" t="str">
        <f>HYPERLINK("https://www.boe.es/gazeta/dias/1804/01/24/pdfs/GMD-1804-7.pdf#page=6","Abrir facsímil")</f>
        <v>Abrir facsímil</v>
      </c>
      <c r="K3850" s="15" t="s">
        <v>22</v>
      </c>
    </row>
    <row r="3851" spans="1:11" ht="42" customHeight="1">
      <c r="A3851" s="4" t="s">
        <v>9184</v>
      </c>
      <c r="B3851" s="5" t="s">
        <v>9184</v>
      </c>
      <c r="C3851" s="5" t="s">
        <v>27</v>
      </c>
      <c r="D3851" s="5" t="s">
        <v>28</v>
      </c>
      <c r="E3851" s="5" t="s">
        <v>576</v>
      </c>
      <c r="F3851" s="9">
        <v>85</v>
      </c>
      <c r="G3851" s="9">
        <v>936</v>
      </c>
      <c r="H3851" s="5" t="s">
        <v>20</v>
      </c>
      <c r="I3851" s="5" t="s">
        <v>9185</v>
      </c>
      <c r="J3851" s="12" t="str">
        <f>HYPERLINK("https://www.boe.es/gazeta/dias/1804/10/23/pdfs/GMD-1804-85.pdf#page=6","Abrir facsímil")</f>
        <v>Abrir facsímil</v>
      </c>
      <c r="K3851" s="15" t="s">
        <v>22</v>
      </c>
    </row>
    <row r="3852" spans="1:11" ht="42" customHeight="1">
      <c r="A3852" s="4" t="s">
        <v>9186</v>
      </c>
      <c r="B3852" s="5" t="s">
        <v>9186</v>
      </c>
      <c r="C3852" s="5" t="s">
        <v>57</v>
      </c>
      <c r="D3852" s="5" t="s">
        <v>58</v>
      </c>
      <c r="E3852" s="5" t="s">
        <v>308</v>
      </c>
      <c r="F3852" s="9">
        <v>96</v>
      </c>
      <c r="G3852" s="9">
        <v>1063</v>
      </c>
      <c r="H3852" s="5" t="s">
        <v>20</v>
      </c>
      <c r="I3852" s="5" t="s">
        <v>9187</v>
      </c>
      <c r="J3852" s="12" t="str">
        <f>HYPERLINK("https://www.boe.es/gazeta/dias/1804/11/30/pdfs/GMD-1804-96.pdf#page=3","Abrir facsímil")</f>
        <v>Abrir facsímil</v>
      </c>
      <c r="K3852" s="15" t="s">
        <v>22</v>
      </c>
    </row>
    <row r="3853" spans="1:11" ht="42" customHeight="1">
      <c r="A3853" s="4" t="s">
        <v>9188</v>
      </c>
      <c r="B3853" s="5" t="s">
        <v>9188</v>
      </c>
      <c r="C3853" s="5" t="s">
        <v>27</v>
      </c>
      <c r="D3853" s="5" t="s">
        <v>28</v>
      </c>
      <c r="E3853" s="5" t="s">
        <v>367</v>
      </c>
      <c r="F3853" s="9">
        <v>64</v>
      </c>
      <c r="G3853" s="9">
        <v>709</v>
      </c>
      <c r="H3853" s="5" t="s">
        <v>20</v>
      </c>
      <c r="I3853" s="5" t="s">
        <v>9189</v>
      </c>
      <c r="J3853" s="12" t="str">
        <f>HYPERLINK("https://www.boe.es/gazeta/dias/1804/08/10/pdfs/GMD-1804-64.pdf#page=3","Abrir facsímil")</f>
        <v>Abrir facsímil</v>
      </c>
      <c r="K3853" s="15" t="s">
        <v>22</v>
      </c>
    </row>
    <row r="3854" spans="1:11" ht="42" customHeight="1">
      <c r="A3854" s="4" t="s">
        <v>9190</v>
      </c>
      <c r="B3854" s="5" t="s">
        <v>9190</v>
      </c>
      <c r="C3854" s="5" t="s">
        <v>27</v>
      </c>
      <c r="D3854" s="5" t="s">
        <v>28</v>
      </c>
      <c r="E3854" s="5" t="s">
        <v>147</v>
      </c>
      <c r="F3854" s="9">
        <v>77</v>
      </c>
      <c r="G3854" s="9">
        <v>853</v>
      </c>
      <c r="H3854" s="5" t="s">
        <v>20</v>
      </c>
      <c r="I3854" s="5" t="s">
        <v>9191</v>
      </c>
      <c r="J3854" s="12" t="str">
        <f>HYPERLINK("https://www.boe.es/gazeta/dias/1804/09/25/pdfs/GMD-1804-77.pdf#page=3","Abrir facsímil")</f>
        <v>Abrir facsímil</v>
      </c>
      <c r="K3854" s="15" t="s">
        <v>22</v>
      </c>
    </row>
    <row r="3855" spans="1:11" ht="42" customHeight="1">
      <c r="A3855" s="4" t="s">
        <v>9192</v>
      </c>
      <c r="B3855" s="5" t="s">
        <v>9192</v>
      </c>
      <c r="C3855" s="5" t="s">
        <v>27</v>
      </c>
      <c r="D3855" s="5" t="s">
        <v>28</v>
      </c>
      <c r="E3855" s="5" t="s">
        <v>19</v>
      </c>
      <c r="F3855" s="9">
        <v>60</v>
      </c>
      <c r="G3855" s="9">
        <v>662</v>
      </c>
      <c r="H3855" s="5" t="s">
        <v>20</v>
      </c>
      <c r="I3855" s="5" t="s">
        <v>9193</v>
      </c>
      <c r="J3855" s="12" t="str">
        <f>HYPERLINK("https://www.boe.es/gazeta/dias/1804/07/27/pdfs/GMD-1804-60.pdf#page=4","Abrir facsímil")</f>
        <v>Abrir facsímil</v>
      </c>
      <c r="K3855" s="15" t="s">
        <v>22</v>
      </c>
    </row>
    <row r="3856" spans="1:11" ht="42" customHeight="1">
      <c r="A3856" s="4" t="s">
        <v>9194</v>
      </c>
      <c r="B3856" s="5" t="s">
        <v>9194</v>
      </c>
      <c r="C3856" s="5" t="s">
        <v>85</v>
      </c>
      <c r="D3856" s="5" t="s">
        <v>86</v>
      </c>
      <c r="E3856" s="5" t="s">
        <v>704</v>
      </c>
      <c r="F3856" s="9">
        <v>36</v>
      </c>
      <c r="G3856" s="9">
        <v>392</v>
      </c>
      <c r="H3856" s="5" t="s">
        <v>20</v>
      </c>
      <c r="I3856" s="5" t="s">
        <v>9195</v>
      </c>
      <c r="J3856" s="12" t="str">
        <f>HYPERLINK("https://www.boe.es/gazeta/dias/1804/05/04/pdfs/GMD-1804-36.pdf#page=2","Abrir facsímil")</f>
        <v>Abrir facsímil</v>
      </c>
      <c r="K3856" s="15" t="s">
        <v>22</v>
      </c>
    </row>
    <row r="3857" spans="1:11" ht="42" customHeight="1">
      <c r="A3857" s="4" t="s">
        <v>9196</v>
      </c>
      <c r="B3857" s="5" t="s">
        <v>9196</v>
      </c>
      <c r="C3857" s="5" t="s">
        <v>57</v>
      </c>
      <c r="D3857" s="5" t="s">
        <v>58</v>
      </c>
      <c r="E3857" s="5" t="s">
        <v>136</v>
      </c>
      <c r="F3857" s="9">
        <v>23</v>
      </c>
      <c r="G3857" s="9">
        <v>257</v>
      </c>
      <c r="H3857" s="5" t="s">
        <v>20</v>
      </c>
      <c r="I3857" s="5" t="s">
        <v>9197</v>
      </c>
      <c r="J3857" s="12" t="str">
        <f>HYPERLINK("https://www.boe.es/gazeta/dias/1804/03/20/pdfs/GMD-1804-23.pdf#page=3","Abrir facsímil")</f>
        <v>Abrir facsímil</v>
      </c>
      <c r="K3857" s="15" t="s">
        <v>22</v>
      </c>
    </row>
    <row r="3858" spans="1:11" ht="42" customHeight="1">
      <c r="A3858" s="4" t="s">
        <v>9198</v>
      </c>
      <c r="B3858" s="5" t="s">
        <v>9198</v>
      </c>
      <c r="C3858" s="5" t="s">
        <v>57</v>
      </c>
      <c r="D3858" s="5" t="s">
        <v>58</v>
      </c>
      <c r="E3858" s="5" t="s">
        <v>147</v>
      </c>
      <c r="F3858" s="9">
        <v>77</v>
      </c>
      <c r="G3858" s="9">
        <v>853</v>
      </c>
      <c r="H3858" s="5" t="s">
        <v>20</v>
      </c>
      <c r="I3858" s="5" t="s">
        <v>9199</v>
      </c>
      <c r="J3858" s="12" t="str">
        <f>HYPERLINK("https://www.boe.es/gazeta/dias/1804/09/25/pdfs/GMD-1804-77.pdf#page=3","Abrir facsímil")</f>
        <v>Abrir facsímil</v>
      </c>
      <c r="K3858" s="15" t="s">
        <v>22</v>
      </c>
    </row>
    <row r="3859" spans="1:11" ht="42" customHeight="1">
      <c r="A3859" s="4" t="s">
        <v>9200</v>
      </c>
      <c r="B3859" s="5" t="s">
        <v>9200</v>
      </c>
      <c r="C3859" s="5" t="s">
        <v>57</v>
      </c>
      <c r="D3859" s="5" t="s">
        <v>58</v>
      </c>
      <c r="E3859" s="5" t="s">
        <v>159</v>
      </c>
      <c r="F3859" s="9">
        <v>15</v>
      </c>
      <c r="G3859" s="9">
        <v>157</v>
      </c>
      <c r="H3859" s="5" t="s">
        <v>20</v>
      </c>
      <c r="I3859" s="5" t="s">
        <v>9201</v>
      </c>
      <c r="J3859" s="12" t="str">
        <f>HYPERLINK("https://www.boe.es/gazeta/dias/1804/02/21/pdfs/GMD-1804-15.pdf#page=1","Abrir facsímil")</f>
        <v>Abrir facsímil</v>
      </c>
      <c r="K3859" s="15" t="s">
        <v>22</v>
      </c>
    </row>
    <row r="3860" spans="1:11" ht="42" customHeight="1">
      <c r="A3860" s="4" t="s">
        <v>9202</v>
      </c>
      <c r="B3860" s="5" t="s">
        <v>9202</v>
      </c>
      <c r="C3860" s="5" t="s">
        <v>198</v>
      </c>
      <c r="D3860" s="5" t="s">
        <v>66</v>
      </c>
      <c r="E3860" s="5" t="s">
        <v>317</v>
      </c>
      <c r="F3860" s="9">
        <v>56</v>
      </c>
      <c r="G3860" s="9">
        <v>618</v>
      </c>
      <c r="H3860" s="5" t="s">
        <v>20</v>
      </c>
      <c r="I3860" s="5" t="s">
        <v>9203</v>
      </c>
      <c r="J3860" s="12" t="str">
        <f>HYPERLINK("https://www.boe.es/gazeta/dias/1804/07/13/pdfs/GMD-1804-56.pdf#page=4","Abrir facsímil")</f>
        <v>Abrir facsímil</v>
      </c>
      <c r="K3860" s="15" t="s">
        <v>22</v>
      </c>
    </row>
    <row r="3861" spans="1:11" ht="42" customHeight="1">
      <c r="A3861" s="4" t="s">
        <v>9202</v>
      </c>
      <c r="B3861" s="5" t="s">
        <v>9202</v>
      </c>
      <c r="C3861" s="5" t="s">
        <v>57</v>
      </c>
      <c r="D3861" s="5" t="s">
        <v>58</v>
      </c>
      <c r="E3861" s="5" t="s">
        <v>191</v>
      </c>
      <c r="F3861" s="9">
        <v>101</v>
      </c>
      <c r="G3861" s="9">
        <v>1123</v>
      </c>
      <c r="H3861" s="5" t="s">
        <v>20</v>
      </c>
      <c r="I3861" s="5" t="s">
        <v>9204</v>
      </c>
      <c r="J3861" s="12" t="str">
        <f>HYPERLINK("https://www.boe.es/gazeta/dias/1804/12/18/pdfs/GMD-1804-101.pdf#page=3","Abrir facsímil")</f>
        <v>Abrir facsímil</v>
      </c>
      <c r="K3861" s="15" t="s">
        <v>22</v>
      </c>
    </row>
    <row r="3862" spans="1:11" ht="42" customHeight="1">
      <c r="A3862" s="4" t="s">
        <v>9205</v>
      </c>
      <c r="B3862" s="5" t="s">
        <v>9205</v>
      </c>
      <c r="C3862" s="5" t="s">
        <v>57</v>
      </c>
      <c r="D3862" s="5" t="s">
        <v>58</v>
      </c>
      <c r="E3862" s="5" t="s">
        <v>103</v>
      </c>
      <c r="F3862" s="9">
        <v>11</v>
      </c>
      <c r="G3862" s="9">
        <v>114</v>
      </c>
      <c r="H3862" s="5" t="s">
        <v>20</v>
      </c>
      <c r="I3862" s="5" t="s">
        <v>9206</v>
      </c>
      <c r="J3862" s="12" t="str">
        <f>HYPERLINK("https://www.boe.es/gazeta/dias/1804/02/07/pdfs/GMD-1804-11.pdf#page=2","Abrir facsímil")</f>
        <v>Abrir facsímil</v>
      </c>
      <c r="K3862" s="15" t="s">
        <v>22</v>
      </c>
    </row>
    <row r="3863" spans="1:11" ht="42" customHeight="1">
      <c r="A3863" s="4" t="s">
        <v>9207</v>
      </c>
      <c r="B3863" s="5" t="s">
        <v>9207</v>
      </c>
      <c r="C3863" s="5" t="s">
        <v>57</v>
      </c>
      <c r="D3863" s="5" t="s">
        <v>58</v>
      </c>
      <c r="E3863" s="5" t="s">
        <v>736</v>
      </c>
      <c r="F3863" s="9">
        <v>83</v>
      </c>
      <c r="G3863" s="9">
        <v>917</v>
      </c>
      <c r="H3863" s="5" t="s">
        <v>20</v>
      </c>
      <c r="I3863" s="5" t="s">
        <v>9208</v>
      </c>
      <c r="J3863" s="12" t="str">
        <f>HYPERLINK("https://www.boe.es/gazeta/dias/1804/10/16/pdfs/GMD-1804-83.pdf#page=7","Abrir facsímil")</f>
        <v>Abrir facsímil</v>
      </c>
      <c r="K3863" s="15" t="s">
        <v>22</v>
      </c>
    </row>
    <row r="3864" spans="1:11" ht="42" customHeight="1">
      <c r="A3864" s="4" t="s">
        <v>9209</v>
      </c>
      <c r="B3864" s="5" t="s">
        <v>9209</v>
      </c>
      <c r="C3864" s="5" t="s">
        <v>57</v>
      </c>
      <c r="D3864" s="5" t="s">
        <v>58</v>
      </c>
      <c r="E3864" s="5" t="s">
        <v>339</v>
      </c>
      <c r="F3864" s="9">
        <v>94</v>
      </c>
      <c r="G3864" s="9">
        <v>1034</v>
      </c>
      <c r="H3864" s="5" t="s">
        <v>20</v>
      </c>
      <c r="I3864" s="5" t="s">
        <v>9210</v>
      </c>
      <c r="J3864" s="12" t="str">
        <f>HYPERLINK("https://www.boe.es/gazeta/dias/1804/11/23/pdfs/GMD-1804-94.pdf#page=2","Abrir facsímil")</f>
        <v>Abrir facsímil</v>
      </c>
      <c r="K3864" s="15" t="s">
        <v>22</v>
      </c>
    </row>
    <row r="3865" spans="1:11" ht="42" customHeight="1">
      <c r="A3865" s="4" t="s">
        <v>9211</v>
      </c>
      <c r="B3865" s="5" t="s">
        <v>9211</v>
      </c>
      <c r="C3865" s="5" t="s">
        <v>17</v>
      </c>
      <c r="D3865" s="5" t="s">
        <v>18</v>
      </c>
      <c r="E3865" s="5" t="s">
        <v>950</v>
      </c>
      <c r="F3865" s="9">
        <v>90</v>
      </c>
      <c r="G3865" s="9">
        <v>996</v>
      </c>
      <c r="H3865" s="5" t="s">
        <v>20</v>
      </c>
      <c r="I3865" s="5" t="s">
        <v>9212</v>
      </c>
      <c r="J3865" s="12" t="str">
        <f>HYPERLINK("https://www.boe.es/gazeta/dias/1804/11/09/pdfs/GMD-1804-90.pdf#page=4","Abrir facsímil")</f>
        <v>Abrir facsímil</v>
      </c>
      <c r="K3865" s="15" t="s">
        <v>22</v>
      </c>
    </row>
    <row r="3866" spans="1:11" ht="42" customHeight="1">
      <c r="A3866" s="4" t="s">
        <v>9213</v>
      </c>
      <c r="B3866" s="5" t="s">
        <v>9213</v>
      </c>
      <c r="C3866" s="5" t="s">
        <v>57</v>
      </c>
      <c r="D3866" s="5" t="s">
        <v>58</v>
      </c>
      <c r="E3866" s="5" t="s">
        <v>222</v>
      </c>
      <c r="F3866" s="9">
        <v>4</v>
      </c>
      <c r="G3866" s="9">
        <v>36</v>
      </c>
      <c r="H3866" s="5" t="s">
        <v>20</v>
      </c>
      <c r="I3866" s="5" t="s">
        <v>9214</v>
      </c>
      <c r="J3866" s="12" t="str">
        <f>HYPERLINK("https://www.boe.es/gazeta/dias/1804/01/13/pdfs/GMD-1804-4.pdf#page=8","Abrir facsímil")</f>
        <v>Abrir facsímil</v>
      </c>
      <c r="K3866" s="15" t="s">
        <v>22</v>
      </c>
    </row>
    <row r="3867" spans="1:11" ht="42" customHeight="1">
      <c r="A3867" s="4" t="s">
        <v>9213</v>
      </c>
      <c r="B3867" s="5" t="s">
        <v>9213</v>
      </c>
      <c r="C3867" s="5" t="s">
        <v>57</v>
      </c>
      <c r="D3867" s="5" t="s">
        <v>58</v>
      </c>
      <c r="E3867" s="5" t="s">
        <v>136</v>
      </c>
      <c r="F3867" s="9">
        <v>23</v>
      </c>
      <c r="G3867" s="9">
        <v>257</v>
      </c>
      <c r="H3867" s="5" t="s">
        <v>20</v>
      </c>
      <c r="I3867" s="5" t="s">
        <v>9215</v>
      </c>
      <c r="J3867" s="12" t="str">
        <f>HYPERLINK("https://www.boe.es/gazeta/dias/1804/03/20/pdfs/GMD-1804-23.pdf#page=3","Abrir facsímil")</f>
        <v>Abrir facsímil</v>
      </c>
      <c r="K3867" s="15" t="s">
        <v>22</v>
      </c>
    </row>
    <row r="3868" spans="1:11" ht="42" customHeight="1">
      <c r="A3868" s="4" t="s">
        <v>9213</v>
      </c>
      <c r="B3868" s="5" t="s">
        <v>9213</v>
      </c>
      <c r="C3868" s="5" t="s">
        <v>198</v>
      </c>
      <c r="D3868" s="5" t="s">
        <v>66</v>
      </c>
      <c r="E3868" s="5" t="s">
        <v>317</v>
      </c>
      <c r="F3868" s="9">
        <v>56</v>
      </c>
      <c r="G3868" s="9">
        <v>618</v>
      </c>
      <c r="H3868" s="5" t="s">
        <v>20</v>
      </c>
      <c r="I3868" s="5" t="s">
        <v>9216</v>
      </c>
      <c r="J3868" s="12" t="str">
        <f>HYPERLINK("https://www.boe.es/gazeta/dias/1804/07/13/pdfs/GMD-1804-56.pdf#page=4","Abrir facsímil")</f>
        <v>Abrir facsímil</v>
      </c>
      <c r="K3868" s="15" t="s">
        <v>22</v>
      </c>
    </row>
    <row r="3869" spans="1:11" ht="42" customHeight="1">
      <c r="A3869" s="4" t="s">
        <v>9213</v>
      </c>
      <c r="B3869" s="5" t="s">
        <v>9213</v>
      </c>
      <c r="C3869" s="5" t="s">
        <v>27</v>
      </c>
      <c r="D3869" s="5" t="s">
        <v>28</v>
      </c>
      <c r="E3869" s="5" t="s">
        <v>143</v>
      </c>
      <c r="F3869" s="9">
        <v>87</v>
      </c>
      <c r="G3869" s="9">
        <v>959</v>
      </c>
      <c r="H3869" s="5" t="s">
        <v>20</v>
      </c>
      <c r="I3869" s="5" t="s">
        <v>9217</v>
      </c>
      <c r="J3869" s="12" t="str">
        <f>HYPERLINK("https://www.boe.es/gazeta/dias/1804/10/30/pdfs/GMD-1804-87.pdf#page=3","Abrir facsímil")</f>
        <v>Abrir facsímil</v>
      </c>
      <c r="K3869" s="15" t="s">
        <v>22</v>
      </c>
    </row>
    <row r="3870" spans="1:11" ht="42" customHeight="1">
      <c r="A3870" s="4" t="s">
        <v>9218</v>
      </c>
      <c r="B3870" s="5" t="s">
        <v>9218</v>
      </c>
      <c r="C3870" s="5" t="s">
        <v>27</v>
      </c>
      <c r="D3870" s="5" t="s">
        <v>28</v>
      </c>
      <c r="E3870" s="5" t="s">
        <v>251</v>
      </c>
      <c r="F3870" s="9">
        <v>79</v>
      </c>
      <c r="G3870" s="9">
        <v>874</v>
      </c>
      <c r="H3870" s="5" t="s">
        <v>20</v>
      </c>
      <c r="I3870" s="5" t="s">
        <v>9219</v>
      </c>
      <c r="J3870" s="12" t="str">
        <f>HYPERLINK("https://www.boe.es/gazeta/dias/1804/10/02/pdfs/GMD-1804-79.pdf#page=4","Abrir facsímil")</f>
        <v>Abrir facsímil</v>
      </c>
      <c r="K3870" s="15" t="s">
        <v>22</v>
      </c>
    </row>
    <row r="3871" spans="1:11" ht="42" customHeight="1">
      <c r="A3871" s="4" t="s">
        <v>9220</v>
      </c>
      <c r="B3871" s="5" t="s">
        <v>9220</v>
      </c>
      <c r="C3871" s="5" t="s">
        <v>27</v>
      </c>
      <c r="D3871" s="5" t="s">
        <v>28</v>
      </c>
      <c r="E3871" s="5" t="s">
        <v>251</v>
      </c>
      <c r="F3871" s="9">
        <v>79</v>
      </c>
      <c r="G3871" s="9">
        <v>872</v>
      </c>
      <c r="H3871" s="5" t="s">
        <v>20</v>
      </c>
      <c r="I3871" s="5" t="s">
        <v>9221</v>
      </c>
      <c r="J3871" s="12" t="str">
        <f>HYPERLINK("https://www.boe.es/gazeta/dias/1804/10/02/pdfs/GMD-1804-79.pdf#page=2","Abrir facsímil")</f>
        <v>Abrir facsímil</v>
      </c>
      <c r="K3871" s="15" t="s">
        <v>22</v>
      </c>
    </row>
    <row r="3872" spans="1:11" ht="42" customHeight="1">
      <c r="A3872" s="4" t="s">
        <v>9220</v>
      </c>
      <c r="B3872" s="5" t="s">
        <v>9220</v>
      </c>
      <c r="C3872" s="5" t="s">
        <v>27</v>
      </c>
      <c r="D3872" s="5" t="s">
        <v>28</v>
      </c>
      <c r="E3872" s="5" t="s">
        <v>208</v>
      </c>
      <c r="F3872" s="9">
        <v>97</v>
      </c>
      <c r="G3872" s="9">
        <v>1076</v>
      </c>
      <c r="H3872" s="5" t="s">
        <v>20</v>
      </c>
      <c r="I3872" s="5" t="s">
        <v>9222</v>
      </c>
      <c r="J3872" s="12" t="str">
        <f>HYPERLINK("https://www.boe.es/gazeta/dias/1804/12/04/pdfs/GMD-1804-97.pdf#page=4","Abrir facsímil")</f>
        <v>Abrir facsímil</v>
      </c>
      <c r="K3872" s="15" t="s">
        <v>22</v>
      </c>
    </row>
    <row r="3873" spans="1:11" ht="42" customHeight="1">
      <c r="A3873" s="4" t="s">
        <v>9220</v>
      </c>
      <c r="B3873" s="5" t="s">
        <v>9220</v>
      </c>
      <c r="C3873" s="5" t="s">
        <v>17</v>
      </c>
      <c r="D3873" s="5" t="s">
        <v>18</v>
      </c>
      <c r="E3873" s="5" t="s">
        <v>71</v>
      </c>
      <c r="F3873" s="9">
        <v>99</v>
      </c>
      <c r="G3873" s="9">
        <v>1105</v>
      </c>
      <c r="H3873" s="5" t="s">
        <v>20</v>
      </c>
      <c r="I3873" s="5" t="s">
        <v>9223</v>
      </c>
      <c r="J3873" s="12" t="str">
        <f>HYPERLINK("https://www.boe.es/gazeta/dias/1804/12/11/pdfs/GMD-1804-99.pdf#page=5","Abrir facsímil")</f>
        <v>Abrir facsímil</v>
      </c>
      <c r="K3873" s="15" t="s">
        <v>22</v>
      </c>
    </row>
    <row r="3874" spans="1:11" ht="42" customHeight="1">
      <c r="A3874" s="4" t="s">
        <v>9220</v>
      </c>
      <c r="B3874" s="5" t="s">
        <v>9220</v>
      </c>
      <c r="C3874" s="5" t="s">
        <v>85</v>
      </c>
      <c r="D3874" s="5" t="s">
        <v>86</v>
      </c>
      <c r="E3874" s="5" t="s">
        <v>490</v>
      </c>
      <c r="F3874" s="9">
        <v>100</v>
      </c>
      <c r="G3874" s="9">
        <v>1113</v>
      </c>
      <c r="H3874" s="5" t="s">
        <v>20</v>
      </c>
      <c r="I3874" s="5" t="s">
        <v>9224</v>
      </c>
      <c r="J3874" s="12" t="str">
        <f>HYPERLINK("https://www.boe.es/gazeta/dias/1804/12/14/pdfs/GMD-1804-100.pdf#page=5","Abrir facsímil")</f>
        <v>Abrir facsímil</v>
      </c>
      <c r="K3874" s="15" t="s">
        <v>22</v>
      </c>
    </row>
    <row r="3875" spans="1:11" ht="42" customHeight="1">
      <c r="A3875" s="4" t="s">
        <v>9225</v>
      </c>
      <c r="B3875" s="5" t="s">
        <v>9225</v>
      </c>
      <c r="C3875" s="5" t="s">
        <v>17</v>
      </c>
      <c r="D3875" s="5" t="s">
        <v>18</v>
      </c>
      <c r="E3875" s="5" t="s">
        <v>950</v>
      </c>
      <c r="F3875" s="9">
        <v>90</v>
      </c>
      <c r="G3875" s="9">
        <v>995</v>
      </c>
      <c r="H3875" s="5" t="s">
        <v>20</v>
      </c>
      <c r="I3875" s="5" t="s">
        <v>9226</v>
      </c>
      <c r="J3875" s="12" t="str">
        <f>HYPERLINK("https://www.boe.es/gazeta/dias/1804/11/09/pdfs/GMD-1804-90.pdf#page=3","Abrir facsímil")</f>
        <v>Abrir facsímil</v>
      </c>
      <c r="K3875" s="15" t="s">
        <v>22</v>
      </c>
    </row>
    <row r="3876" spans="1:11" ht="42" customHeight="1">
      <c r="A3876" s="4" t="s">
        <v>9227</v>
      </c>
      <c r="B3876" s="5" t="s">
        <v>9227</v>
      </c>
      <c r="C3876" s="5" t="s">
        <v>57</v>
      </c>
      <c r="D3876" s="5" t="s">
        <v>58</v>
      </c>
      <c r="E3876" s="5" t="s">
        <v>81</v>
      </c>
      <c r="F3876" s="9">
        <v>98</v>
      </c>
      <c r="G3876" s="9">
        <v>1086</v>
      </c>
      <c r="H3876" s="5" t="s">
        <v>20</v>
      </c>
      <c r="I3876" s="5" t="s">
        <v>9228</v>
      </c>
      <c r="J3876" s="12" t="str">
        <f>HYPERLINK("https://www.boe.es/gazeta/dias/1804/12/07/pdfs/GMD-1804-98.pdf#page=2","Abrir facsímil")</f>
        <v>Abrir facsímil</v>
      </c>
      <c r="K3876" s="15" t="s">
        <v>22</v>
      </c>
    </row>
    <row r="3877" spans="1:11" ht="42" customHeight="1">
      <c r="A3877" s="4" t="s">
        <v>9229</v>
      </c>
      <c r="B3877" s="5" t="s">
        <v>9229</v>
      </c>
      <c r="C3877" s="5" t="s">
        <v>65</v>
      </c>
      <c r="D3877" s="5" t="s">
        <v>66</v>
      </c>
      <c r="E3877" s="5" t="s">
        <v>87</v>
      </c>
      <c r="F3877" s="9">
        <v>9</v>
      </c>
      <c r="G3877" s="9">
        <v>91</v>
      </c>
      <c r="H3877" s="5" t="s">
        <v>20</v>
      </c>
      <c r="I3877" s="5" t="s">
        <v>9230</v>
      </c>
      <c r="J3877" s="12" t="str">
        <f>HYPERLINK("https://www.boe.es/gazeta/dias/1804/01/31/pdfs/GMD-1804-9.pdf#page=3","Abrir facsímil")</f>
        <v>Abrir facsímil</v>
      </c>
      <c r="K3877" s="15" t="s">
        <v>22</v>
      </c>
    </row>
    <row r="3878" spans="1:11" ht="42" customHeight="1">
      <c r="A3878" s="4" t="s">
        <v>9229</v>
      </c>
      <c r="B3878" s="5" t="s">
        <v>9229</v>
      </c>
      <c r="C3878" s="5" t="s">
        <v>57</v>
      </c>
      <c r="D3878" s="5" t="s">
        <v>58</v>
      </c>
      <c r="E3878" s="5" t="s">
        <v>538</v>
      </c>
      <c r="F3878" s="9">
        <v>27</v>
      </c>
      <c r="G3878" s="9">
        <v>297</v>
      </c>
      <c r="H3878" s="5" t="s">
        <v>20</v>
      </c>
      <c r="I3878" s="5" t="s">
        <v>9231</v>
      </c>
      <c r="J3878" s="12" t="str">
        <f>HYPERLINK("https://www.boe.es/gazeta/dias/1804/04/03/pdfs/GMD-1804-27.pdf#page=3","Abrir facsímil")</f>
        <v>Abrir facsímil</v>
      </c>
      <c r="K3878" s="15" t="s">
        <v>22</v>
      </c>
    </row>
    <row r="3879" spans="1:11" ht="42" customHeight="1">
      <c r="A3879" s="4" t="s">
        <v>9232</v>
      </c>
      <c r="B3879" s="5" t="s">
        <v>9232</v>
      </c>
      <c r="C3879" s="5" t="s">
        <v>57</v>
      </c>
      <c r="D3879" s="5" t="s">
        <v>58</v>
      </c>
      <c r="E3879" s="5" t="s">
        <v>222</v>
      </c>
      <c r="F3879" s="9">
        <v>4</v>
      </c>
      <c r="G3879" s="9">
        <v>36</v>
      </c>
      <c r="H3879" s="5" t="s">
        <v>20</v>
      </c>
      <c r="I3879" s="5" t="s">
        <v>9233</v>
      </c>
      <c r="J3879" s="12" t="str">
        <f>HYPERLINK("https://www.boe.es/gazeta/dias/1804/01/13/pdfs/GMD-1804-4.pdf#page=8","Abrir facsímil")</f>
        <v>Abrir facsímil</v>
      </c>
      <c r="K3879" s="15" t="s">
        <v>22</v>
      </c>
    </row>
    <row r="3880" spans="1:11" ht="42" customHeight="1">
      <c r="A3880" s="4" t="s">
        <v>9234</v>
      </c>
      <c r="B3880" s="5" t="s">
        <v>9235</v>
      </c>
      <c r="C3880" s="5" t="s">
        <v>57</v>
      </c>
      <c r="D3880" s="5" t="s">
        <v>58</v>
      </c>
      <c r="E3880" s="5" t="s">
        <v>222</v>
      </c>
      <c r="F3880" s="9">
        <v>4</v>
      </c>
      <c r="G3880" s="9">
        <v>36</v>
      </c>
      <c r="H3880" s="5" t="s">
        <v>20</v>
      </c>
      <c r="I3880" s="5" t="s">
        <v>9236</v>
      </c>
      <c r="J3880" s="12" t="str">
        <f>HYPERLINK("https://www.boe.es/gazeta/dias/1804/01/13/pdfs/GMD-1804-4.pdf#page=8","Abrir facsímil")</f>
        <v>Abrir facsímil</v>
      </c>
      <c r="K3880" s="15" t="s">
        <v>22</v>
      </c>
    </row>
    <row r="3881" spans="1:11" ht="42" customHeight="1">
      <c r="A3881" s="4" t="s">
        <v>9237</v>
      </c>
      <c r="B3881" s="5" t="s">
        <v>9237</v>
      </c>
      <c r="C3881" s="5" t="s">
        <v>57</v>
      </c>
      <c r="D3881" s="5" t="s">
        <v>58</v>
      </c>
      <c r="E3881" s="5" t="s">
        <v>155</v>
      </c>
      <c r="F3881" s="9">
        <v>92</v>
      </c>
      <c r="G3881" s="9">
        <v>1015</v>
      </c>
      <c r="H3881" s="5" t="s">
        <v>20</v>
      </c>
      <c r="I3881" s="5" t="s">
        <v>9238</v>
      </c>
      <c r="J3881" s="12" t="str">
        <f>HYPERLINK("https://www.boe.es/gazeta/dias/1804/11/16/pdfs/GMD-1804-92.pdf#page=3","Abrir facsímil")</f>
        <v>Abrir facsímil</v>
      </c>
      <c r="K3881" s="15" t="s">
        <v>22</v>
      </c>
    </row>
    <row r="3882" spans="1:11" ht="42" customHeight="1">
      <c r="A3882" s="4" t="s">
        <v>9239</v>
      </c>
      <c r="B3882" s="5" t="s">
        <v>9239</v>
      </c>
      <c r="C3882" s="5" t="s">
        <v>27</v>
      </c>
      <c r="D3882" s="5" t="s">
        <v>28</v>
      </c>
      <c r="E3882" s="5" t="s">
        <v>302</v>
      </c>
      <c r="F3882" s="9">
        <v>3</v>
      </c>
      <c r="G3882" s="9">
        <v>23</v>
      </c>
      <c r="H3882" s="5" t="s">
        <v>20</v>
      </c>
      <c r="I3882" s="5" t="s">
        <v>9240</v>
      </c>
      <c r="J3882" s="12" t="str">
        <f>HYPERLINK("https://www.boe.es/gazeta/dias/1804/01/10/pdfs/GMD-1804-3.pdf#page=3","Abrir facsímil")</f>
        <v>Abrir facsímil</v>
      </c>
      <c r="K3882" s="15" t="s">
        <v>22</v>
      </c>
    </row>
    <row r="3883" spans="1:11" ht="42" customHeight="1">
      <c r="A3883" s="4" t="s">
        <v>9241</v>
      </c>
      <c r="B3883" s="5" t="s">
        <v>9241</v>
      </c>
      <c r="C3883" s="5" t="s">
        <v>57</v>
      </c>
      <c r="D3883" s="5" t="s">
        <v>58</v>
      </c>
      <c r="E3883" s="5" t="s">
        <v>140</v>
      </c>
      <c r="F3883" s="9">
        <v>39</v>
      </c>
      <c r="G3883" s="9">
        <v>430</v>
      </c>
      <c r="H3883" s="5" t="s">
        <v>20</v>
      </c>
      <c r="I3883" s="5" t="s">
        <v>9242</v>
      </c>
      <c r="J3883" s="12" t="str">
        <f>HYPERLINK("https://www.boe.es/gazeta/dias/1804/05/15/pdfs/GMD-1804-39.pdf#page=4","Abrir facsímil")</f>
        <v>Abrir facsímil</v>
      </c>
      <c r="K3883" s="15" t="s">
        <v>22</v>
      </c>
    </row>
    <row r="3884" spans="1:11" ht="42" customHeight="1">
      <c r="A3884" s="4" t="s">
        <v>9241</v>
      </c>
      <c r="B3884" s="5" t="s">
        <v>9241</v>
      </c>
      <c r="C3884" s="5" t="s">
        <v>57</v>
      </c>
      <c r="D3884" s="5" t="s">
        <v>58</v>
      </c>
      <c r="E3884" s="5" t="s">
        <v>576</v>
      </c>
      <c r="F3884" s="9">
        <v>85</v>
      </c>
      <c r="G3884" s="9">
        <v>934</v>
      </c>
      <c r="H3884" s="5" t="s">
        <v>20</v>
      </c>
      <c r="I3884" s="5" t="s">
        <v>9243</v>
      </c>
      <c r="J3884" s="12" t="str">
        <f>HYPERLINK("https://www.boe.es/gazeta/dias/1804/10/23/pdfs/GMD-1804-85.pdf#page=4","Abrir facsímil")</f>
        <v>Abrir facsímil</v>
      </c>
      <c r="K3884" s="15" t="s">
        <v>22</v>
      </c>
    </row>
    <row r="3885" spans="1:11" ht="42" customHeight="1">
      <c r="A3885" s="4" t="s">
        <v>9241</v>
      </c>
      <c r="B3885" s="5" t="s">
        <v>9241</v>
      </c>
      <c r="C3885" s="5" t="s">
        <v>57</v>
      </c>
      <c r="D3885" s="5" t="s">
        <v>58</v>
      </c>
      <c r="E3885" s="5" t="s">
        <v>50</v>
      </c>
      <c r="F3885" s="9">
        <v>93</v>
      </c>
      <c r="G3885" s="9">
        <v>1025</v>
      </c>
      <c r="H3885" s="5" t="s">
        <v>20</v>
      </c>
      <c r="I3885" s="5" t="s">
        <v>9244</v>
      </c>
      <c r="J3885" s="12" t="str">
        <f>HYPERLINK("https://www.boe.es/gazeta/dias/1804/11/20/pdfs/GMD-1804-93.pdf#page=1","Abrir facsímil")</f>
        <v>Abrir facsímil</v>
      </c>
      <c r="K3885" s="15" t="s">
        <v>22</v>
      </c>
    </row>
    <row r="3886" spans="1:11" ht="42" customHeight="1">
      <c r="A3886" s="4" t="s">
        <v>9241</v>
      </c>
      <c r="B3886" s="5" t="s">
        <v>9241</v>
      </c>
      <c r="C3886" s="5" t="s">
        <v>27</v>
      </c>
      <c r="D3886" s="5" t="s">
        <v>28</v>
      </c>
      <c r="E3886" s="5" t="s">
        <v>208</v>
      </c>
      <c r="F3886" s="9">
        <v>97</v>
      </c>
      <c r="G3886" s="9">
        <v>1075</v>
      </c>
      <c r="H3886" s="5" t="s">
        <v>20</v>
      </c>
      <c r="I3886" s="5" t="s">
        <v>9245</v>
      </c>
      <c r="J3886" s="12" t="str">
        <f>HYPERLINK("https://www.boe.es/gazeta/dias/1804/12/04/pdfs/GMD-1804-97.pdf#page=3","Abrir facsímil")</f>
        <v>Abrir facsímil</v>
      </c>
      <c r="K3886" s="15" t="s">
        <v>22</v>
      </c>
    </row>
    <row r="3887" spans="1:11" ht="42" customHeight="1">
      <c r="A3887" s="4" t="s">
        <v>9246</v>
      </c>
      <c r="B3887" s="5" t="s">
        <v>9246</v>
      </c>
      <c r="C3887" s="5" t="s">
        <v>57</v>
      </c>
      <c r="D3887" s="5" t="s">
        <v>58</v>
      </c>
      <c r="E3887" s="5" t="s">
        <v>251</v>
      </c>
      <c r="F3887" s="9">
        <v>79</v>
      </c>
      <c r="G3887" s="9">
        <v>874</v>
      </c>
      <c r="H3887" s="5" t="s">
        <v>20</v>
      </c>
      <c r="I3887" s="5" t="s">
        <v>9247</v>
      </c>
      <c r="J3887" s="12" t="str">
        <f>HYPERLINK("https://www.boe.es/gazeta/dias/1804/10/02/pdfs/GMD-1804-79.pdf#page=4","Abrir facsímil")</f>
        <v>Abrir facsímil</v>
      </c>
      <c r="K3887" s="15" t="s">
        <v>22</v>
      </c>
    </row>
    <row r="3888" spans="1:11" ht="42" customHeight="1">
      <c r="A3888" s="4" t="s">
        <v>9248</v>
      </c>
      <c r="B3888" s="5" t="s">
        <v>9248</v>
      </c>
      <c r="C3888" s="5" t="s">
        <v>27</v>
      </c>
      <c r="D3888" s="5" t="s">
        <v>28</v>
      </c>
      <c r="E3888" s="5" t="s">
        <v>670</v>
      </c>
      <c r="F3888" s="9">
        <v>41</v>
      </c>
      <c r="G3888" s="9">
        <v>453</v>
      </c>
      <c r="H3888" s="5" t="s">
        <v>20</v>
      </c>
      <c r="I3888" s="5" t="s">
        <v>9249</v>
      </c>
      <c r="J3888" s="12" t="str">
        <f>HYPERLINK("https://www.boe.es/gazeta/dias/1804/05/22/pdfs/GMD-1804-41.pdf#page=3","Abrir facsímil")</f>
        <v>Abrir facsímil</v>
      </c>
      <c r="K3888" s="15" t="s">
        <v>22</v>
      </c>
    </row>
    <row r="3889" spans="1:11" ht="42" customHeight="1">
      <c r="A3889" s="4" t="s">
        <v>9250</v>
      </c>
      <c r="B3889" s="5" t="s">
        <v>9250</v>
      </c>
      <c r="C3889" s="5" t="s">
        <v>57</v>
      </c>
      <c r="D3889" s="5" t="s">
        <v>58</v>
      </c>
      <c r="E3889" s="5" t="s">
        <v>704</v>
      </c>
      <c r="F3889" s="9">
        <v>36</v>
      </c>
      <c r="G3889" s="9">
        <v>393</v>
      </c>
      <c r="H3889" s="5" t="s">
        <v>20</v>
      </c>
      <c r="I3889" s="5" t="s">
        <v>9251</v>
      </c>
      <c r="J3889" s="12" t="str">
        <f>HYPERLINK("https://www.boe.es/gazeta/dias/1804/05/04/pdfs/GMD-1804-36.pdf#page=3","Abrir facsímil")</f>
        <v>Abrir facsímil</v>
      </c>
      <c r="K3889" s="15" t="s">
        <v>22</v>
      </c>
    </row>
    <row r="3890" spans="1:11" ht="42" customHeight="1">
      <c r="A3890" s="4" t="s">
        <v>9252</v>
      </c>
      <c r="B3890" s="5" t="s">
        <v>9252</v>
      </c>
      <c r="C3890" s="5" t="s">
        <v>198</v>
      </c>
      <c r="D3890" s="5" t="s">
        <v>66</v>
      </c>
      <c r="E3890" s="5" t="s">
        <v>857</v>
      </c>
      <c r="F3890" s="9">
        <v>28</v>
      </c>
      <c r="G3890" s="9">
        <v>307</v>
      </c>
      <c r="H3890" s="5" t="s">
        <v>20</v>
      </c>
      <c r="I3890" s="5" t="s">
        <v>9253</v>
      </c>
      <c r="J3890" s="12" t="str">
        <f>HYPERLINK("https://www.boe.es/gazeta/dias/1804/04/06/pdfs/GMD-1804-28.pdf#page=5","Abrir facsímil")</f>
        <v>Abrir facsímil</v>
      </c>
      <c r="K3890" s="15" t="s">
        <v>22</v>
      </c>
    </row>
    <row r="3891" spans="1:11" ht="42" customHeight="1">
      <c r="A3891" s="4" t="s">
        <v>9252</v>
      </c>
      <c r="B3891" s="5" t="s">
        <v>9252</v>
      </c>
      <c r="C3891" s="5" t="s">
        <v>27</v>
      </c>
      <c r="D3891" s="5" t="s">
        <v>28</v>
      </c>
      <c r="E3891" s="5" t="s">
        <v>140</v>
      </c>
      <c r="F3891" s="9">
        <v>39</v>
      </c>
      <c r="G3891" s="9">
        <v>436</v>
      </c>
      <c r="H3891" s="5" t="s">
        <v>20</v>
      </c>
      <c r="I3891" s="5" t="s">
        <v>9254</v>
      </c>
      <c r="J3891" s="12" t="str">
        <f>HYPERLINK("https://www.boe.es/gazeta/dias/1804/05/15/pdfs/GMD-1804-39.pdf#page=10","Abrir facsímil")</f>
        <v>Abrir facsímil</v>
      </c>
      <c r="K3891" s="15" t="s">
        <v>22</v>
      </c>
    </row>
    <row r="3892" spans="1:11" ht="42" customHeight="1">
      <c r="A3892" s="4" t="s">
        <v>9255</v>
      </c>
      <c r="B3892" s="5" t="s">
        <v>9255</v>
      </c>
      <c r="C3892" s="5" t="s">
        <v>27</v>
      </c>
      <c r="D3892" s="5" t="s">
        <v>28</v>
      </c>
      <c r="E3892" s="5" t="s">
        <v>587</v>
      </c>
      <c r="F3892" s="9">
        <v>62</v>
      </c>
      <c r="G3892" s="9">
        <v>688</v>
      </c>
      <c r="H3892" s="5" t="s">
        <v>20</v>
      </c>
      <c r="I3892" s="5" t="s">
        <v>9256</v>
      </c>
      <c r="J3892" s="12" t="str">
        <f>HYPERLINK("https://www.boe.es/gazeta/dias/1804/08/03/pdfs/GMD-1804-62.pdf#page=10","Abrir facsímil")</f>
        <v>Abrir facsímil</v>
      </c>
      <c r="K3892" s="15" t="s">
        <v>22</v>
      </c>
    </row>
    <row r="3893" spans="1:11" ht="42" customHeight="1">
      <c r="A3893" s="4" t="s">
        <v>9257</v>
      </c>
      <c r="B3893" s="5" t="s">
        <v>9257</v>
      </c>
      <c r="C3893" s="5" t="s">
        <v>27</v>
      </c>
      <c r="D3893" s="5" t="s">
        <v>28</v>
      </c>
      <c r="E3893" s="5" t="s">
        <v>29</v>
      </c>
      <c r="F3893" s="9">
        <v>88</v>
      </c>
      <c r="G3893" s="9">
        <v>978</v>
      </c>
      <c r="H3893" s="5" t="s">
        <v>20</v>
      </c>
      <c r="I3893" s="5" t="s">
        <v>9258</v>
      </c>
      <c r="J3893" s="12" t="str">
        <f>HYPERLINK("https://www.boe.es/gazeta/dias/1804/11/02/pdfs/GMD-1804-88.pdf#page=10","Abrir facsímil")</f>
        <v>Abrir facsímil</v>
      </c>
      <c r="K3893" s="15" t="s">
        <v>22</v>
      </c>
    </row>
    <row r="3894" spans="1:11" ht="42" customHeight="1">
      <c r="A3894" s="4" t="s">
        <v>9259</v>
      </c>
      <c r="B3894" s="5" t="s">
        <v>9260</v>
      </c>
      <c r="C3894" s="5" t="s">
        <v>27</v>
      </c>
      <c r="D3894" s="5" t="s">
        <v>28</v>
      </c>
      <c r="E3894" s="5" t="s">
        <v>41</v>
      </c>
      <c r="F3894" s="9">
        <v>24</v>
      </c>
      <c r="G3894" s="9">
        <v>274</v>
      </c>
      <c r="H3894" s="5" t="s">
        <v>20</v>
      </c>
      <c r="I3894" s="5" t="s">
        <v>9261</v>
      </c>
      <c r="J3894" s="12" t="str">
        <f>HYPERLINK("https://www.boe.es/gazeta/dias/1804/03/23/pdfs/GMD-1804-24.pdf#page=8","Abrir facsímil")</f>
        <v>Abrir facsímil</v>
      </c>
      <c r="K3894" s="15" t="s">
        <v>22</v>
      </c>
    </row>
    <row r="3895" spans="1:11" ht="42" customHeight="1">
      <c r="A3895" s="4" t="s">
        <v>9262</v>
      </c>
      <c r="B3895" s="5" t="s">
        <v>9263</v>
      </c>
      <c r="C3895" s="5" t="s">
        <v>27</v>
      </c>
      <c r="D3895" s="5" t="s">
        <v>28</v>
      </c>
      <c r="E3895" s="5" t="s">
        <v>538</v>
      </c>
      <c r="F3895" s="9">
        <v>27</v>
      </c>
      <c r="G3895" s="9">
        <v>300</v>
      </c>
      <c r="H3895" s="5" t="s">
        <v>20</v>
      </c>
      <c r="I3895" s="5" t="s">
        <v>9264</v>
      </c>
      <c r="J3895" s="12" t="str">
        <f>HYPERLINK("https://www.boe.es/gazeta/dias/1804/04/03/pdfs/GMD-1804-27.pdf#page=6","Abrir facsímil")</f>
        <v>Abrir facsímil</v>
      </c>
      <c r="K3895" s="15" t="s">
        <v>22</v>
      </c>
    </row>
    <row r="3896" spans="1:11" ht="42" customHeight="1">
      <c r="A3896" s="4" t="s">
        <v>9265</v>
      </c>
      <c r="B3896" s="5" t="s">
        <v>9265</v>
      </c>
      <c r="C3896" s="5" t="s">
        <v>120</v>
      </c>
      <c r="D3896" s="5" t="s">
        <v>121</v>
      </c>
      <c r="E3896" s="5" t="s">
        <v>33</v>
      </c>
      <c r="F3896" s="9">
        <v>48</v>
      </c>
      <c r="G3896" s="9" t="s">
        <v>819</v>
      </c>
      <c r="H3896" s="5" t="s">
        <v>20</v>
      </c>
      <c r="I3896" s="5" t="s">
        <v>9266</v>
      </c>
      <c r="J3896" s="12" t="str">
        <f>HYPERLINK("https://www.boe.es/gazeta/dias/1804/06/15/pdfs/GMD-C-1804-48.pdf#page=4","Abrir facsímil")</f>
        <v>Abrir facsímil</v>
      </c>
      <c r="K3896" s="15" t="s">
        <v>22</v>
      </c>
    </row>
    <row r="3897" spans="1:11" ht="42" customHeight="1">
      <c r="A3897" s="4" t="s">
        <v>9267</v>
      </c>
      <c r="B3897" s="5" t="s">
        <v>9268</v>
      </c>
      <c r="C3897" s="5" t="s">
        <v>65</v>
      </c>
      <c r="D3897" s="5" t="s">
        <v>66</v>
      </c>
      <c r="E3897" s="5" t="s">
        <v>37</v>
      </c>
      <c r="F3897" s="9">
        <v>29</v>
      </c>
      <c r="G3897" s="9">
        <v>318</v>
      </c>
      <c r="H3897" s="5" t="s">
        <v>20</v>
      </c>
      <c r="I3897" s="5" t="s">
        <v>9269</v>
      </c>
      <c r="J3897" s="12" t="str">
        <f>HYPERLINK("https://www.boe.es/gazeta/dias/1804/04/10/pdfs/GMD-1804-29.pdf#page=8","Abrir facsímil")</f>
        <v>Abrir facsímil</v>
      </c>
      <c r="K3897" s="15" t="s">
        <v>22</v>
      </c>
    </row>
    <row r="3898" spans="1:11" ht="42" customHeight="1">
      <c r="A3898" s="4" t="s">
        <v>9270</v>
      </c>
      <c r="B3898" s="5" t="s">
        <v>9270</v>
      </c>
      <c r="C3898" s="5" t="s">
        <v>85</v>
      </c>
      <c r="D3898" s="5" t="s">
        <v>86</v>
      </c>
      <c r="E3898" s="5" t="s">
        <v>163</v>
      </c>
      <c r="F3898" s="9">
        <v>70</v>
      </c>
      <c r="G3898" s="9">
        <v>786</v>
      </c>
      <c r="H3898" s="5" t="s">
        <v>20</v>
      </c>
      <c r="I3898" s="5" t="s">
        <v>9271</v>
      </c>
      <c r="J3898" s="12" t="str">
        <f>HYPERLINK("https://www.boe.es/gazeta/dias/1804/08/31/pdfs/GMD-1804-70.pdf#page=8","Abrir facsímil")</f>
        <v>Abrir facsímil</v>
      </c>
      <c r="K3898" s="15" t="s">
        <v>22</v>
      </c>
    </row>
    <row r="3899" spans="1:11" ht="42" customHeight="1">
      <c r="A3899" s="4" t="s">
        <v>9272</v>
      </c>
      <c r="B3899" s="5" t="s">
        <v>9272</v>
      </c>
      <c r="C3899" s="5" t="s">
        <v>17</v>
      </c>
      <c r="D3899" s="5" t="s">
        <v>18</v>
      </c>
      <c r="E3899" s="5" t="s">
        <v>302</v>
      </c>
      <c r="F3899" s="9">
        <v>3</v>
      </c>
      <c r="G3899" s="9">
        <v>28</v>
      </c>
      <c r="H3899" s="5" t="s">
        <v>20</v>
      </c>
      <c r="I3899" s="5" t="s">
        <v>9273</v>
      </c>
      <c r="J3899" s="12" t="str">
        <f>HYPERLINK("https://www.boe.es/gazeta/dias/1804/01/10/pdfs/GMD-1804-3.pdf#page=8","Abrir facsímil")</f>
        <v>Abrir facsímil</v>
      </c>
      <c r="K3899" s="15" t="s">
        <v>22</v>
      </c>
    </row>
    <row r="3900" spans="1:11" ht="42" customHeight="1">
      <c r="A3900" s="4" t="s">
        <v>9274</v>
      </c>
      <c r="B3900" s="5" t="s">
        <v>9274</v>
      </c>
      <c r="C3900" s="5" t="s">
        <v>85</v>
      </c>
      <c r="D3900" s="5" t="s">
        <v>86</v>
      </c>
      <c r="E3900" s="5" t="s">
        <v>511</v>
      </c>
      <c r="F3900" s="9">
        <v>12</v>
      </c>
      <c r="G3900" s="9">
        <v>136</v>
      </c>
      <c r="H3900" s="5" t="s">
        <v>20</v>
      </c>
      <c r="I3900" s="5" t="s">
        <v>9275</v>
      </c>
      <c r="J3900" s="12" t="str">
        <f>HYPERLINK("https://www.boe.es/gazeta/dias/1804/02/10/pdfs/GMD-1804-12.pdf#page=12","Abrir facsímil")</f>
        <v>Abrir facsímil</v>
      </c>
      <c r="K3900" s="15" t="s">
        <v>22</v>
      </c>
    </row>
    <row r="3901" spans="1:11" ht="42" customHeight="1">
      <c r="A3901" s="4" t="s">
        <v>9276</v>
      </c>
      <c r="B3901" s="5" t="s">
        <v>9277</v>
      </c>
      <c r="C3901" s="5" t="s">
        <v>85</v>
      </c>
      <c r="D3901" s="5" t="s">
        <v>86</v>
      </c>
      <c r="E3901" s="5" t="s">
        <v>1278</v>
      </c>
      <c r="F3901" s="9">
        <v>37</v>
      </c>
      <c r="G3901" s="9">
        <v>414</v>
      </c>
      <c r="H3901" s="5" t="s">
        <v>20</v>
      </c>
      <c r="I3901" s="5" t="s">
        <v>9278</v>
      </c>
      <c r="J3901" s="12" t="str">
        <f>HYPERLINK("https://www.boe.es/gazeta/dias/1804/05/08/pdfs/GMD-1804-37.pdf#page=12","Abrir facsímil")</f>
        <v>Abrir facsímil</v>
      </c>
      <c r="K3901" s="15" t="s">
        <v>22</v>
      </c>
    </row>
    <row r="3902" spans="1:11" ht="42" customHeight="1">
      <c r="A3902" s="4" t="s">
        <v>9279</v>
      </c>
      <c r="B3902" s="5" t="s">
        <v>9279</v>
      </c>
      <c r="C3902" s="5" t="s">
        <v>120</v>
      </c>
      <c r="D3902" s="5" t="s">
        <v>121</v>
      </c>
      <c r="E3902" s="5" t="s">
        <v>33</v>
      </c>
      <c r="F3902" s="9">
        <v>48</v>
      </c>
      <c r="G3902" s="9" t="s">
        <v>285</v>
      </c>
      <c r="H3902" s="5" t="s">
        <v>20</v>
      </c>
      <c r="I3902" s="5" t="s">
        <v>9280</v>
      </c>
      <c r="J3902" s="12" t="str">
        <f>HYPERLINK("https://www.boe.es/gazeta/dias/1804/06/15/pdfs/GMD-C-1804-48.pdf#page=2","Abrir facsímil")</f>
        <v>Abrir facsímil</v>
      </c>
      <c r="K3902" s="15" t="s">
        <v>22</v>
      </c>
    </row>
    <row r="3903" spans="1:11" ht="42" customHeight="1">
      <c r="A3903" s="4" t="s">
        <v>9281</v>
      </c>
      <c r="B3903" s="5" t="s">
        <v>9281</v>
      </c>
      <c r="C3903" s="5" t="s">
        <v>57</v>
      </c>
      <c r="D3903" s="5" t="s">
        <v>58</v>
      </c>
      <c r="E3903" s="5" t="s">
        <v>163</v>
      </c>
      <c r="F3903" s="9">
        <v>70</v>
      </c>
      <c r="G3903" s="9">
        <v>780</v>
      </c>
      <c r="H3903" s="5" t="s">
        <v>20</v>
      </c>
      <c r="I3903" s="5" t="s">
        <v>9282</v>
      </c>
      <c r="J3903" s="12" t="str">
        <f>HYPERLINK("https://www.boe.es/gazeta/dias/1804/08/31/pdfs/GMD-1804-70.pdf#page=2","Abrir facsímil")</f>
        <v>Abrir facsímil</v>
      </c>
      <c r="K3903" s="15" t="s">
        <v>22</v>
      </c>
    </row>
    <row r="3904" spans="1:11" ht="42" customHeight="1">
      <c r="A3904" s="4" t="s">
        <v>9283</v>
      </c>
      <c r="B3904" s="5" t="s">
        <v>9284</v>
      </c>
      <c r="C3904" s="5" t="s">
        <v>57</v>
      </c>
      <c r="D3904" s="5" t="s">
        <v>58</v>
      </c>
      <c r="E3904" s="5" t="s">
        <v>538</v>
      </c>
      <c r="F3904" s="9">
        <v>27</v>
      </c>
      <c r="G3904" s="9">
        <v>296</v>
      </c>
      <c r="H3904" s="5" t="s">
        <v>20</v>
      </c>
      <c r="I3904" s="5" t="s">
        <v>9285</v>
      </c>
      <c r="J3904" s="12" t="str">
        <f>HYPERLINK("https://www.boe.es/gazeta/dias/1804/04/03/pdfs/GMD-1804-27.pdf#page=2","Abrir facsímil")</f>
        <v>Abrir facsímil</v>
      </c>
      <c r="K3904" s="15" t="s">
        <v>22</v>
      </c>
    </row>
    <row r="3905" spans="1:11" ht="42" customHeight="1">
      <c r="A3905" s="4" t="s">
        <v>9283</v>
      </c>
      <c r="B3905" s="5" t="s">
        <v>9284</v>
      </c>
      <c r="C3905" s="5" t="s">
        <v>27</v>
      </c>
      <c r="D3905" s="5" t="s">
        <v>28</v>
      </c>
      <c r="E3905" s="5" t="s">
        <v>800</v>
      </c>
      <c r="F3905" s="9">
        <v>45</v>
      </c>
      <c r="G3905" s="9">
        <v>491</v>
      </c>
      <c r="H3905" s="5" t="s">
        <v>20</v>
      </c>
      <c r="I3905" s="5" t="s">
        <v>9286</v>
      </c>
      <c r="J3905" s="12" t="str">
        <f>HYPERLINK("https://www.boe.es/gazeta/dias/1804/06/05/pdfs/GMD-1804-45.pdf#page=1","Abrir facsímil")</f>
        <v>Abrir facsímil</v>
      </c>
      <c r="K3905" s="15" t="s">
        <v>22</v>
      </c>
    </row>
    <row r="3906" spans="1:11" ht="42" customHeight="1">
      <c r="A3906" s="4" t="s">
        <v>9287</v>
      </c>
      <c r="B3906" s="5" t="s">
        <v>9287</v>
      </c>
      <c r="C3906" s="5" t="s">
        <v>57</v>
      </c>
      <c r="D3906" s="5" t="s">
        <v>58</v>
      </c>
      <c r="E3906" s="5" t="s">
        <v>800</v>
      </c>
      <c r="F3906" s="9">
        <v>45</v>
      </c>
      <c r="G3906" s="9">
        <v>492</v>
      </c>
      <c r="H3906" s="5" t="s">
        <v>20</v>
      </c>
      <c r="I3906" s="5" t="s">
        <v>9288</v>
      </c>
      <c r="J3906" s="12" t="str">
        <f>HYPERLINK("https://www.boe.es/gazeta/dias/1804/06/05/pdfs/GMD-1804-45.pdf#page=2","Abrir facsímil")</f>
        <v>Abrir facsímil</v>
      </c>
      <c r="K3906" s="15" t="s">
        <v>22</v>
      </c>
    </row>
    <row r="3907" spans="1:11" ht="42" customHeight="1">
      <c r="A3907" s="4" t="s">
        <v>9289</v>
      </c>
      <c r="B3907" s="5" t="s">
        <v>9290</v>
      </c>
      <c r="C3907" s="5" t="s">
        <v>27</v>
      </c>
      <c r="D3907" s="5" t="s">
        <v>28</v>
      </c>
      <c r="E3907" s="5" t="s">
        <v>354</v>
      </c>
      <c r="F3907" s="9">
        <v>1</v>
      </c>
      <c r="G3907" s="9">
        <v>10</v>
      </c>
      <c r="H3907" s="5" t="s">
        <v>20</v>
      </c>
      <c r="I3907" s="5" t="s">
        <v>9291</v>
      </c>
      <c r="J3907" s="12" t="str">
        <f>HYPERLINK("https://www.boe.es/gazeta/dias/1804/01/03/pdfs/GMD-1804-1.pdf#page=10","Abrir facsímil")</f>
        <v>Abrir facsímil</v>
      </c>
      <c r="K3907" s="15" t="s">
        <v>22</v>
      </c>
    </row>
    <row r="3908" spans="1:11" ht="42" customHeight="1">
      <c r="A3908" s="4" t="s">
        <v>9292</v>
      </c>
      <c r="B3908" s="5" t="s">
        <v>9293</v>
      </c>
      <c r="C3908" s="5" t="s">
        <v>27</v>
      </c>
      <c r="D3908" s="5" t="s">
        <v>28</v>
      </c>
      <c r="E3908" s="5" t="s">
        <v>67</v>
      </c>
      <c r="F3908" s="9">
        <v>59</v>
      </c>
      <c r="G3908" s="9">
        <v>652</v>
      </c>
      <c r="H3908" s="5" t="s">
        <v>20</v>
      </c>
      <c r="I3908" s="5" t="s">
        <v>9294</v>
      </c>
      <c r="J3908" s="12" t="str">
        <f>HYPERLINK("https://www.boe.es/gazeta/dias/1804/07/24/pdfs/GMD-1804-59.pdf#page=6","Abrir facsímil")</f>
        <v>Abrir facsímil</v>
      </c>
      <c r="K3908" s="15" t="s">
        <v>22</v>
      </c>
    </row>
    <row r="3909" spans="1:11" ht="42" customHeight="1">
      <c r="A3909" s="4" t="s">
        <v>9295</v>
      </c>
      <c r="B3909" s="5" t="s">
        <v>9296</v>
      </c>
      <c r="C3909" s="5" t="s">
        <v>17</v>
      </c>
      <c r="D3909" s="5" t="s">
        <v>18</v>
      </c>
      <c r="E3909" s="5" t="s">
        <v>109</v>
      </c>
      <c r="F3909" s="9">
        <v>35</v>
      </c>
      <c r="G3909" s="9">
        <v>384</v>
      </c>
      <c r="H3909" s="5" t="s">
        <v>20</v>
      </c>
      <c r="I3909" s="5" t="s">
        <v>9297</v>
      </c>
      <c r="J3909" s="12" t="str">
        <f>HYPERLINK("https://www.boe.es/gazeta/dias/1804/05/01/pdfs/GMD-1804-35.pdf#page=6","Abrir facsímil")</f>
        <v>Abrir facsímil</v>
      </c>
      <c r="K3909" s="15" t="s">
        <v>22</v>
      </c>
    </row>
    <row r="3910" spans="1:11" ht="42" customHeight="1">
      <c r="A3910" s="4" t="s">
        <v>9298</v>
      </c>
      <c r="B3910" s="5" t="s">
        <v>9299</v>
      </c>
      <c r="C3910" s="5" t="s">
        <v>27</v>
      </c>
      <c r="D3910" s="5" t="s">
        <v>28</v>
      </c>
      <c r="E3910" s="5" t="s">
        <v>421</v>
      </c>
      <c r="F3910" s="9">
        <v>47</v>
      </c>
      <c r="G3910" s="9">
        <v>527</v>
      </c>
      <c r="H3910" s="5" t="s">
        <v>20</v>
      </c>
      <c r="I3910" s="5" t="s">
        <v>9300</v>
      </c>
      <c r="J3910" s="12" t="str">
        <f>HYPERLINK("https://www.boe.es/gazeta/dias/1804/06/12/pdfs/GMD-1804-47.pdf#page=9","Abrir facsímil")</f>
        <v>Abrir facsímil</v>
      </c>
      <c r="K3910" s="15" t="s">
        <v>22</v>
      </c>
    </row>
    <row r="3911" spans="1:11" ht="42" customHeight="1">
      <c r="A3911" s="4" t="s">
        <v>9301</v>
      </c>
      <c r="B3911" s="5" t="s">
        <v>9302</v>
      </c>
      <c r="C3911" s="5" t="s">
        <v>27</v>
      </c>
      <c r="D3911" s="5" t="s">
        <v>28</v>
      </c>
      <c r="E3911" s="5" t="s">
        <v>143</v>
      </c>
      <c r="F3911" s="9">
        <v>87</v>
      </c>
      <c r="G3911" s="9">
        <v>963</v>
      </c>
      <c r="H3911" s="5" t="s">
        <v>20</v>
      </c>
      <c r="I3911" s="5" t="s">
        <v>9303</v>
      </c>
      <c r="J3911" s="12" t="str">
        <f>HYPERLINK("https://www.boe.es/gazeta/dias/1804/10/30/pdfs/GMD-1804-87.pdf#page=7","Abrir facsímil")</f>
        <v>Abrir facsímil</v>
      </c>
      <c r="K3911" s="15" t="s">
        <v>22</v>
      </c>
    </row>
    <row r="3912" spans="1:11" ht="42" customHeight="1">
      <c r="A3912" s="4" t="s">
        <v>9304</v>
      </c>
      <c r="B3912" s="5" t="s">
        <v>9305</v>
      </c>
      <c r="C3912" s="5" t="s">
        <v>27</v>
      </c>
      <c r="D3912" s="5" t="s">
        <v>28</v>
      </c>
      <c r="E3912" s="5" t="s">
        <v>490</v>
      </c>
      <c r="F3912" s="9">
        <v>100</v>
      </c>
      <c r="G3912" s="9">
        <v>1119</v>
      </c>
      <c r="H3912" s="5" t="s">
        <v>20</v>
      </c>
      <c r="I3912" s="5" t="s">
        <v>9306</v>
      </c>
      <c r="J3912" s="12" t="str">
        <f>HYPERLINK("https://www.boe.es/gazeta/dias/1804/12/14/pdfs/GMD-1804-100.pdf#page=11","Abrir facsímil")</f>
        <v>Abrir facsímil</v>
      </c>
      <c r="K3912" s="15" t="s">
        <v>22</v>
      </c>
    </row>
    <row r="3913" spans="1:11" ht="42" customHeight="1">
      <c r="A3913" s="4" t="s">
        <v>9307</v>
      </c>
      <c r="B3913" s="5" t="s">
        <v>9308</v>
      </c>
      <c r="C3913" s="5" t="s">
        <v>27</v>
      </c>
      <c r="D3913" s="5" t="s">
        <v>28</v>
      </c>
      <c r="E3913" s="5" t="s">
        <v>497</v>
      </c>
      <c r="F3913" s="9">
        <v>25</v>
      </c>
      <c r="G3913" s="9">
        <v>283</v>
      </c>
      <c r="H3913" s="5" t="s">
        <v>20</v>
      </c>
      <c r="I3913" s="5" t="s">
        <v>9309</v>
      </c>
      <c r="J3913" s="12" t="str">
        <f>HYPERLINK("https://www.boe.es/gazeta/dias/1804/03/27/pdfs/GMD-1804-25.pdf#page=5","Abrir facsímil")</f>
        <v>Abrir facsímil</v>
      </c>
      <c r="K3913" s="15" t="s">
        <v>22</v>
      </c>
    </row>
    <row r="3914" spans="1:11" ht="42" customHeight="1">
      <c r="A3914" s="4" t="s">
        <v>9310</v>
      </c>
      <c r="B3914" s="5" t="s">
        <v>9310</v>
      </c>
      <c r="C3914" s="5" t="s">
        <v>17</v>
      </c>
      <c r="D3914" s="5" t="s">
        <v>18</v>
      </c>
      <c r="E3914" s="5" t="s">
        <v>308</v>
      </c>
      <c r="F3914" s="9">
        <v>96</v>
      </c>
      <c r="G3914" s="9">
        <v>1066</v>
      </c>
      <c r="H3914" s="5" t="s">
        <v>20</v>
      </c>
      <c r="I3914" s="5" t="s">
        <v>9311</v>
      </c>
      <c r="J3914" s="12" t="str">
        <f>HYPERLINK("https://www.boe.es/gazeta/dias/1804/11/30/pdfs/GMD-1804-96.pdf#page=6","Abrir facsímil")</f>
        <v>Abrir facsímil</v>
      </c>
      <c r="K3914" s="15" t="s">
        <v>22</v>
      </c>
    </row>
    <row r="3915" spans="1:11" ht="42" customHeight="1">
      <c r="A3915" s="4" t="s">
        <v>9312</v>
      </c>
      <c r="B3915" s="5" t="s">
        <v>9313</v>
      </c>
      <c r="C3915" s="5" t="s">
        <v>27</v>
      </c>
      <c r="D3915" s="5" t="s">
        <v>28</v>
      </c>
      <c r="E3915" s="5" t="s">
        <v>484</v>
      </c>
      <c r="F3915" s="9">
        <v>53</v>
      </c>
      <c r="G3915" s="9">
        <v>590</v>
      </c>
      <c r="H3915" s="5" t="s">
        <v>20</v>
      </c>
      <c r="I3915" s="5" t="s">
        <v>9314</v>
      </c>
      <c r="J3915" s="12" t="str">
        <f>HYPERLINK("https://www.boe.es/gazeta/dias/1804/07/03/pdfs/GMD-1804-53.pdf#page=8","Abrir facsímil")</f>
        <v>Abrir facsímil</v>
      </c>
      <c r="K3915" s="15" t="s">
        <v>22</v>
      </c>
    </row>
    <row r="3916" spans="1:11" ht="42" customHeight="1">
      <c r="A3916" s="4" t="s">
        <v>9315</v>
      </c>
      <c r="B3916" s="5" t="s">
        <v>9316</v>
      </c>
      <c r="C3916" s="5" t="s">
        <v>65</v>
      </c>
      <c r="D3916" s="5" t="s">
        <v>66</v>
      </c>
      <c r="E3916" s="5" t="s">
        <v>226</v>
      </c>
      <c r="F3916" s="9">
        <v>17</v>
      </c>
      <c r="G3916" s="9">
        <v>186</v>
      </c>
      <c r="H3916" s="5" t="s">
        <v>20</v>
      </c>
      <c r="I3916" s="5" t="s">
        <v>9317</v>
      </c>
      <c r="J3916" s="12" t="str">
        <f>HYPERLINK("https://www.boe.es/gazeta/dias/1804/02/28/pdfs/GMD-1804-17.pdf#page=6","Abrir facsímil")</f>
        <v>Abrir facsímil</v>
      </c>
      <c r="K3916" s="15" t="s">
        <v>22</v>
      </c>
    </row>
    <row r="3917" spans="1:11" ht="42" customHeight="1">
      <c r="A3917" s="4" t="s">
        <v>9318</v>
      </c>
      <c r="B3917" s="5" t="s">
        <v>9319</v>
      </c>
      <c r="C3917" s="5" t="s">
        <v>17</v>
      </c>
      <c r="D3917" s="5" t="s">
        <v>18</v>
      </c>
      <c r="E3917" s="5" t="s">
        <v>367</v>
      </c>
      <c r="F3917" s="9">
        <v>64</v>
      </c>
      <c r="G3917" s="9">
        <v>716</v>
      </c>
      <c r="H3917" s="5" t="s">
        <v>20</v>
      </c>
      <c r="I3917" s="5" t="s">
        <v>9320</v>
      </c>
      <c r="J3917" s="12" t="str">
        <f>HYPERLINK("https://www.boe.es/gazeta/dias/1804/08/10/pdfs/GMD-1804-64.pdf#page=10","Abrir facsímil")</f>
        <v>Abrir facsímil</v>
      </c>
      <c r="K3917" s="15" t="s">
        <v>22</v>
      </c>
    </row>
    <row r="3918" spans="1:11" ht="42" customHeight="1">
      <c r="A3918" s="4" t="s">
        <v>9321</v>
      </c>
      <c r="B3918" s="5" t="s">
        <v>9322</v>
      </c>
      <c r="C3918" s="5" t="s">
        <v>27</v>
      </c>
      <c r="D3918" s="5" t="s">
        <v>28</v>
      </c>
      <c r="E3918" s="5" t="s">
        <v>29</v>
      </c>
      <c r="F3918" s="9">
        <v>88</v>
      </c>
      <c r="G3918" s="9">
        <v>977</v>
      </c>
      <c r="H3918" s="5" t="s">
        <v>20</v>
      </c>
      <c r="I3918" s="5" t="s">
        <v>9323</v>
      </c>
      <c r="J3918" s="12" t="str">
        <f>HYPERLINK("https://www.boe.es/gazeta/dias/1804/11/02/pdfs/GMD-1804-88.pdf#page=9","Abrir facsímil")</f>
        <v>Abrir facsímil</v>
      </c>
      <c r="K3918" s="15" t="s">
        <v>22</v>
      </c>
    </row>
    <row r="3919" spans="1:11" ht="42" customHeight="1">
      <c r="A3919" s="4" t="s">
        <v>9324</v>
      </c>
      <c r="B3919" s="5" t="s">
        <v>9325</v>
      </c>
      <c r="C3919" s="5" t="s">
        <v>27</v>
      </c>
      <c r="D3919" s="5" t="s">
        <v>28</v>
      </c>
      <c r="E3919" s="5" t="s">
        <v>159</v>
      </c>
      <c r="F3919" s="9">
        <v>15</v>
      </c>
      <c r="G3919" s="9">
        <v>163</v>
      </c>
      <c r="H3919" s="5" t="s">
        <v>20</v>
      </c>
      <c r="I3919" s="5" t="s">
        <v>9326</v>
      </c>
      <c r="J3919" s="12" t="str">
        <f>HYPERLINK("https://www.boe.es/gazeta/dias/1804/02/21/pdfs/GMD-1804-15.pdf#page=7","Abrir facsímil")</f>
        <v>Abrir facsímil</v>
      </c>
      <c r="K3919" s="15" t="s">
        <v>22</v>
      </c>
    </row>
    <row r="3920" spans="1:11" ht="42" customHeight="1">
      <c r="A3920" s="4" t="s">
        <v>9327</v>
      </c>
      <c r="B3920" s="5" t="s">
        <v>9328</v>
      </c>
      <c r="C3920" s="5" t="s">
        <v>17</v>
      </c>
      <c r="D3920" s="5" t="s">
        <v>18</v>
      </c>
      <c r="E3920" s="5" t="s">
        <v>71</v>
      </c>
      <c r="F3920" s="9">
        <v>99</v>
      </c>
      <c r="G3920" s="9">
        <v>1107</v>
      </c>
      <c r="H3920" s="5" t="s">
        <v>20</v>
      </c>
      <c r="I3920" s="5" t="s">
        <v>9329</v>
      </c>
      <c r="J3920" s="12" t="str">
        <f>HYPERLINK("https://www.boe.es/gazeta/dias/1804/12/11/pdfs/GMD-1804-99.pdf#page=7","Abrir facsímil")</f>
        <v>Abrir facsímil</v>
      </c>
      <c r="K3920" s="15" t="s">
        <v>22</v>
      </c>
    </row>
    <row r="3921" spans="1:11" ht="42" customHeight="1">
      <c r="A3921" s="4" t="s">
        <v>9330</v>
      </c>
      <c r="B3921" s="5" t="s">
        <v>9331</v>
      </c>
      <c r="C3921" s="5" t="s">
        <v>85</v>
      </c>
      <c r="D3921" s="5" t="s">
        <v>86</v>
      </c>
      <c r="E3921" s="5" t="s">
        <v>41</v>
      </c>
      <c r="F3921" s="9">
        <v>24</v>
      </c>
      <c r="G3921" s="9">
        <v>278</v>
      </c>
      <c r="H3921" s="5" t="s">
        <v>20</v>
      </c>
      <c r="I3921" s="5" t="s">
        <v>9332</v>
      </c>
      <c r="J3921" s="12" t="str">
        <f>HYPERLINK("https://www.boe.es/gazeta/dias/1804/03/23/pdfs/GMD-1804-24.pdf#page=12","Abrir facsímil")</f>
        <v>Abrir facsímil</v>
      </c>
      <c r="K3921" s="15" t="s">
        <v>22</v>
      </c>
    </row>
    <row r="3922" spans="1:11" ht="42" customHeight="1">
      <c r="A3922" s="4" t="s">
        <v>9330</v>
      </c>
      <c r="B3922" s="5" t="s">
        <v>9331</v>
      </c>
      <c r="C3922" s="5" t="s">
        <v>85</v>
      </c>
      <c r="D3922" s="5" t="s">
        <v>86</v>
      </c>
      <c r="E3922" s="5" t="s">
        <v>497</v>
      </c>
      <c r="F3922" s="9">
        <v>25</v>
      </c>
      <c r="G3922" s="9">
        <v>286</v>
      </c>
      <c r="H3922" s="5" t="s">
        <v>20</v>
      </c>
      <c r="I3922" s="5" t="s">
        <v>9333</v>
      </c>
      <c r="J3922" s="12" t="str">
        <f>HYPERLINK("https://www.boe.es/gazeta/dias/1804/03/27/pdfs/GMD-1804-25.pdf#page=8","Abrir facsímil")</f>
        <v>Abrir facsímil</v>
      </c>
      <c r="K3922" s="15" t="s">
        <v>22</v>
      </c>
    </row>
    <row r="3923" spans="1:11" ht="42" customHeight="1">
      <c r="A3923" s="4" t="s">
        <v>9334</v>
      </c>
      <c r="B3923" s="5" t="s">
        <v>9335</v>
      </c>
      <c r="C3923" s="5" t="s">
        <v>17</v>
      </c>
      <c r="D3923" s="5" t="s">
        <v>18</v>
      </c>
      <c r="E3923" s="5" t="s">
        <v>77</v>
      </c>
      <c r="F3923" s="9">
        <v>32</v>
      </c>
      <c r="G3923" s="9">
        <v>357</v>
      </c>
      <c r="H3923" s="5" t="s">
        <v>20</v>
      </c>
      <c r="I3923" s="5" t="s">
        <v>9336</v>
      </c>
      <c r="J3923" s="12" t="str">
        <f>HYPERLINK("https://www.boe.es/gazeta/dias/1804/04/20/pdfs/GMD-1804-32.pdf#page=11","Abrir facsímil")</f>
        <v>Abrir facsímil</v>
      </c>
      <c r="K3923" s="15" t="s">
        <v>22</v>
      </c>
    </row>
    <row r="3924" spans="1:11" ht="42" customHeight="1">
      <c r="A3924" s="4" t="s">
        <v>9337</v>
      </c>
      <c r="B3924" s="5" t="s">
        <v>9338</v>
      </c>
      <c r="C3924" s="5" t="s">
        <v>198</v>
      </c>
      <c r="D3924" s="5" t="s">
        <v>66</v>
      </c>
      <c r="E3924" s="5" t="s">
        <v>182</v>
      </c>
      <c r="F3924" s="9">
        <v>21</v>
      </c>
      <c r="G3924" s="9">
        <v>235</v>
      </c>
      <c r="H3924" s="5" t="s">
        <v>20</v>
      </c>
      <c r="I3924" s="5" t="s">
        <v>9339</v>
      </c>
      <c r="J3924" s="12" t="str">
        <f>HYPERLINK("https://www.boe.es/gazeta/dias/1804/03/13/pdfs/GMD-1804-21.pdf#page=11","Abrir facsímil")</f>
        <v>Abrir facsímil</v>
      </c>
      <c r="K3924" s="15" t="s">
        <v>22</v>
      </c>
    </row>
    <row r="3925" spans="1:11" ht="42" customHeight="1">
      <c r="A3925" s="4" t="s">
        <v>9340</v>
      </c>
      <c r="B3925" s="5" t="s">
        <v>9341</v>
      </c>
      <c r="C3925" s="5" t="s">
        <v>65</v>
      </c>
      <c r="D3925" s="5" t="s">
        <v>66</v>
      </c>
      <c r="E3925" s="5" t="s">
        <v>479</v>
      </c>
      <c r="F3925" s="9">
        <v>5</v>
      </c>
      <c r="G3925" s="9">
        <v>46</v>
      </c>
      <c r="H3925" s="5" t="s">
        <v>20</v>
      </c>
      <c r="I3925" s="5" t="s">
        <v>9342</v>
      </c>
      <c r="J3925" s="12" t="str">
        <f>HYPERLINK("https://www.boe.es/gazeta/dias/1804/01/17/pdfs/GMD-1804-5.pdf#page=6","Abrir facsímil")</f>
        <v>Abrir facsímil</v>
      </c>
      <c r="K3925" s="15" t="s">
        <v>22</v>
      </c>
    </row>
    <row r="3926" spans="1:11" ht="42" customHeight="1">
      <c r="A3926" s="4" t="s">
        <v>9343</v>
      </c>
      <c r="B3926" s="5" t="s">
        <v>9344</v>
      </c>
      <c r="C3926" s="5" t="s">
        <v>27</v>
      </c>
      <c r="D3926" s="5" t="s">
        <v>28</v>
      </c>
      <c r="E3926" s="5" t="s">
        <v>637</v>
      </c>
      <c r="F3926" s="9">
        <v>74</v>
      </c>
      <c r="G3926" s="9">
        <v>831</v>
      </c>
      <c r="H3926" s="5" t="s">
        <v>20</v>
      </c>
      <c r="I3926" s="5" t="s">
        <v>9345</v>
      </c>
      <c r="J3926" s="12" t="str">
        <f>HYPERLINK("https://www.boe.es/gazeta/dias/1804/09/14/pdfs/GMD-1804-74.pdf#page=9","Abrir facsímil")</f>
        <v>Abrir facsímil</v>
      </c>
      <c r="K3926" s="15" t="s">
        <v>22</v>
      </c>
    </row>
    <row r="3927" spans="1:11" ht="42" customHeight="1">
      <c r="A3927" s="4" t="s">
        <v>9346</v>
      </c>
      <c r="B3927" s="5" t="s">
        <v>9347</v>
      </c>
      <c r="C3927" s="5" t="s">
        <v>27</v>
      </c>
      <c r="D3927" s="5" t="s">
        <v>28</v>
      </c>
      <c r="E3927" s="5" t="s">
        <v>77</v>
      </c>
      <c r="F3927" s="9">
        <v>32</v>
      </c>
      <c r="G3927" s="9">
        <v>356</v>
      </c>
      <c r="H3927" s="5" t="s">
        <v>20</v>
      </c>
      <c r="I3927" s="5" t="s">
        <v>9348</v>
      </c>
      <c r="J3927" s="12" t="str">
        <f>HYPERLINK("https://www.boe.es/gazeta/dias/1804/04/20/pdfs/GMD-1804-32.pdf#page=10","Abrir facsímil")</f>
        <v>Abrir facsímil</v>
      </c>
      <c r="K3927" s="15" t="s">
        <v>22</v>
      </c>
    </row>
    <row r="3928" spans="1:11" ht="42" customHeight="1">
      <c r="A3928" s="4" t="s">
        <v>9349</v>
      </c>
      <c r="B3928" s="5" t="s">
        <v>9350</v>
      </c>
      <c r="C3928" s="5" t="s">
        <v>85</v>
      </c>
      <c r="D3928" s="5" t="s">
        <v>86</v>
      </c>
      <c r="E3928" s="5" t="s">
        <v>87</v>
      </c>
      <c r="F3928" s="9">
        <v>9</v>
      </c>
      <c r="G3928" s="9">
        <v>100</v>
      </c>
      <c r="H3928" s="5" t="s">
        <v>20</v>
      </c>
      <c r="I3928" s="5" t="s">
        <v>9351</v>
      </c>
      <c r="J3928" s="12" t="str">
        <f>HYPERLINK("https://www.boe.es/gazeta/dias/1804/01/31/pdfs/GMD-1804-9.pdf#page=12","Abrir facsímil")</f>
        <v>Abrir facsímil</v>
      </c>
      <c r="K3928" s="15" t="s">
        <v>22</v>
      </c>
    </row>
    <row r="3929" spans="1:11" ht="42" customHeight="1">
      <c r="A3929" s="4" t="s">
        <v>9349</v>
      </c>
      <c r="B3929" s="5" t="s">
        <v>9350</v>
      </c>
      <c r="C3929" s="5" t="s">
        <v>85</v>
      </c>
      <c r="D3929" s="5" t="s">
        <v>86</v>
      </c>
      <c r="E3929" s="5" t="s">
        <v>175</v>
      </c>
      <c r="F3929" s="9">
        <v>58</v>
      </c>
      <c r="G3929" s="9">
        <v>646</v>
      </c>
      <c r="H3929" s="5" t="s">
        <v>20</v>
      </c>
      <c r="I3929" s="5" t="s">
        <v>9352</v>
      </c>
      <c r="J3929" s="12" t="str">
        <f>HYPERLINK("https://www.boe.es/gazeta/dias/1804/07/20/pdfs/GMD-1804-58.pdf#page=12","Abrir facsímil")</f>
        <v>Abrir facsímil</v>
      </c>
      <c r="K3929" s="15" t="s">
        <v>22</v>
      </c>
    </row>
    <row r="3930" spans="1:11" ht="42" customHeight="1">
      <c r="A3930" s="4" t="s">
        <v>9353</v>
      </c>
      <c r="B3930" s="5" t="s">
        <v>9354</v>
      </c>
      <c r="C3930" s="5" t="s">
        <v>27</v>
      </c>
      <c r="D3930" s="5" t="s">
        <v>28</v>
      </c>
      <c r="E3930" s="5" t="s">
        <v>199</v>
      </c>
      <c r="F3930" s="9">
        <v>46</v>
      </c>
      <c r="G3930" s="9">
        <v>512</v>
      </c>
      <c r="H3930" s="5" t="s">
        <v>20</v>
      </c>
      <c r="I3930" s="5" t="s">
        <v>9355</v>
      </c>
      <c r="J3930" s="12" t="str">
        <f>HYPERLINK("https://www.boe.es/gazeta/dias/1804/06/08/pdfs/GMD-1804-46.pdf#page=10","Abrir facsímil")</f>
        <v>Abrir facsímil</v>
      </c>
      <c r="K3930" s="15" t="s">
        <v>22</v>
      </c>
    </row>
    <row r="3931" spans="1:11" ht="42" customHeight="1">
      <c r="A3931" s="4" t="s">
        <v>9356</v>
      </c>
      <c r="B3931" s="5" t="s">
        <v>9357</v>
      </c>
      <c r="C3931" s="5" t="s">
        <v>27</v>
      </c>
      <c r="D3931" s="5" t="s">
        <v>28</v>
      </c>
      <c r="E3931" s="5" t="s">
        <v>91</v>
      </c>
      <c r="F3931" s="9">
        <v>72</v>
      </c>
      <c r="G3931" s="9">
        <v>806</v>
      </c>
      <c r="H3931" s="5" t="s">
        <v>20</v>
      </c>
      <c r="I3931" s="5" t="s">
        <v>9358</v>
      </c>
      <c r="J3931" s="12" t="str">
        <f>HYPERLINK("https://www.boe.es/gazeta/dias/1804/09/07/pdfs/GMD-1804-72.pdf#page=8","Abrir facsímil")</f>
        <v>Abrir facsímil</v>
      </c>
      <c r="K3931" s="15" t="s">
        <v>22</v>
      </c>
    </row>
    <row r="3932" spans="1:11" ht="42" customHeight="1">
      <c r="A3932" s="4" t="s">
        <v>9359</v>
      </c>
      <c r="B3932" s="5" t="s">
        <v>9360</v>
      </c>
      <c r="C3932" s="5" t="s">
        <v>27</v>
      </c>
      <c r="D3932" s="5" t="s">
        <v>28</v>
      </c>
      <c r="E3932" s="5" t="s">
        <v>272</v>
      </c>
      <c r="F3932" s="9">
        <v>30</v>
      </c>
      <c r="G3932" s="9">
        <v>332</v>
      </c>
      <c r="H3932" s="5" t="s">
        <v>20</v>
      </c>
      <c r="I3932" s="5" t="s">
        <v>9361</v>
      </c>
      <c r="J3932" s="12" t="str">
        <f>HYPERLINK("https://www.boe.es/gazeta/dias/1804/04/13/pdfs/GMD-1804-30.pdf#page=10","Abrir facsímil")</f>
        <v>Abrir facsímil</v>
      </c>
      <c r="K3932" s="15" t="s">
        <v>22</v>
      </c>
    </row>
    <row r="3933" spans="1:11" ht="42" customHeight="1">
      <c r="A3933" s="4" t="s">
        <v>9362</v>
      </c>
      <c r="B3933" s="5" t="s">
        <v>9363</v>
      </c>
      <c r="C3933" s="5" t="s">
        <v>17</v>
      </c>
      <c r="D3933" s="5" t="s">
        <v>18</v>
      </c>
      <c r="E3933" s="5" t="s">
        <v>159</v>
      </c>
      <c r="F3933" s="9">
        <v>15</v>
      </c>
      <c r="G3933" s="9">
        <v>163</v>
      </c>
      <c r="H3933" s="5" t="s">
        <v>20</v>
      </c>
      <c r="I3933" s="5" t="s">
        <v>9364</v>
      </c>
      <c r="J3933" s="12" t="str">
        <f>HYPERLINK("https://www.boe.es/gazeta/dias/1804/02/21/pdfs/GMD-1804-15.pdf#page=7","Abrir facsímil")</f>
        <v>Abrir facsímil</v>
      </c>
      <c r="K3933" s="15" t="s">
        <v>22</v>
      </c>
    </row>
    <row r="3934" spans="1:11" ht="42" customHeight="1">
      <c r="A3934" s="4" t="s">
        <v>9365</v>
      </c>
      <c r="B3934" s="5" t="s">
        <v>9365</v>
      </c>
      <c r="C3934" s="5" t="s">
        <v>57</v>
      </c>
      <c r="D3934" s="5" t="s">
        <v>58</v>
      </c>
      <c r="E3934" s="5" t="s">
        <v>511</v>
      </c>
      <c r="F3934" s="9">
        <v>12</v>
      </c>
      <c r="G3934" s="9">
        <v>126</v>
      </c>
      <c r="H3934" s="5" t="s">
        <v>20</v>
      </c>
      <c r="I3934" s="5" t="s">
        <v>9366</v>
      </c>
      <c r="J3934" s="12" t="str">
        <f>HYPERLINK("https://www.boe.es/gazeta/dias/1804/02/10/pdfs/GMD-1804-12.pdf#page=2","Abrir facsímil")</f>
        <v>Abrir facsímil</v>
      </c>
      <c r="K3934" s="15" t="s">
        <v>22</v>
      </c>
    </row>
    <row r="3935" spans="1:11" ht="42" customHeight="1">
      <c r="A3935" s="4" t="s">
        <v>9367</v>
      </c>
      <c r="B3935" s="5" t="s">
        <v>9368</v>
      </c>
      <c r="C3935" s="5" t="s">
        <v>27</v>
      </c>
      <c r="D3935" s="5" t="s">
        <v>28</v>
      </c>
      <c r="E3935" s="5" t="s">
        <v>178</v>
      </c>
      <c r="F3935" s="9">
        <v>20</v>
      </c>
      <c r="G3935" s="9">
        <v>220</v>
      </c>
      <c r="H3935" s="5" t="s">
        <v>20</v>
      </c>
      <c r="I3935" s="5" t="s">
        <v>9369</v>
      </c>
      <c r="J3935" s="12" t="str">
        <f>HYPERLINK("https://www.boe.es/gazeta/dias/1804/03/09/pdfs/GMD-1804-20.pdf#page=8","Abrir facsímil")</f>
        <v>Abrir facsímil</v>
      </c>
      <c r="K3935" s="15" t="s">
        <v>22</v>
      </c>
    </row>
    <row r="3936" spans="1:11" ht="42" customHeight="1">
      <c r="A3936" s="4" t="s">
        <v>9370</v>
      </c>
      <c r="B3936" s="5" t="s">
        <v>9371</v>
      </c>
      <c r="C3936" s="5" t="s">
        <v>57</v>
      </c>
      <c r="D3936" s="5" t="s">
        <v>58</v>
      </c>
      <c r="E3936" s="5" t="s">
        <v>1095</v>
      </c>
      <c r="F3936" s="9">
        <v>73</v>
      </c>
      <c r="G3936" s="9">
        <v>817</v>
      </c>
      <c r="H3936" s="5" t="s">
        <v>20</v>
      </c>
      <c r="I3936" s="5" t="s">
        <v>9372</v>
      </c>
      <c r="J3936" s="12" t="str">
        <f>HYPERLINK("https://www.boe.es/gazeta/dias/1804/09/11/pdfs/GMD-1804-73.pdf#page=7","Abrir facsímil")</f>
        <v>Abrir facsímil</v>
      </c>
      <c r="K3936" s="15" t="s">
        <v>22</v>
      </c>
    </row>
    <row r="3937" spans="1:11" ht="42" customHeight="1">
      <c r="A3937" s="4" t="s">
        <v>9373</v>
      </c>
      <c r="B3937" s="5" t="s">
        <v>9374</v>
      </c>
      <c r="C3937" s="5" t="s">
        <v>65</v>
      </c>
      <c r="D3937" s="5" t="s">
        <v>66</v>
      </c>
      <c r="E3937" s="5" t="s">
        <v>484</v>
      </c>
      <c r="F3937" s="9">
        <v>53</v>
      </c>
      <c r="G3937" s="9">
        <v>590</v>
      </c>
      <c r="H3937" s="5" t="s">
        <v>20</v>
      </c>
      <c r="I3937" s="5" t="s">
        <v>9375</v>
      </c>
      <c r="J3937" s="12" t="str">
        <f>HYPERLINK("https://www.boe.es/gazeta/dias/1804/07/03/pdfs/GMD-1804-53.pdf#page=8","Abrir facsímil")</f>
        <v>Abrir facsímil</v>
      </c>
      <c r="K3937" s="15" t="s">
        <v>22</v>
      </c>
    </row>
    <row r="3938" spans="1:11" ht="42" customHeight="1">
      <c r="A3938" s="4" t="s">
        <v>9376</v>
      </c>
      <c r="B3938" s="5" t="s">
        <v>9377</v>
      </c>
      <c r="C3938" s="5" t="s">
        <v>17</v>
      </c>
      <c r="D3938" s="5" t="s">
        <v>18</v>
      </c>
      <c r="E3938" s="5" t="s">
        <v>258</v>
      </c>
      <c r="F3938" s="9">
        <v>14</v>
      </c>
      <c r="G3938" s="9">
        <v>155</v>
      </c>
      <c r="H3938" s="5" t="s">
        <v>20</v>
      </c>
      <c r="I3938" s="5" t="s">
        <v>9378</v>
      </c>
      <c r="J3938" s="12" t="str">
        <f>HYPERLINK("https://www.boe.es/gazeta/dias/1804/02/17/pdfs/GMD-1804-14.pdf#page=11","Abrir facsímil")</f>
        <v>Abrir facsímil</v>
      </c>
      <c r="K3938" s="15" t="s">
        <v>22</v>
      </c>
    </row>
    <row r="3939" spans="1:11" ht="42" customHeight="1">
      <c r="A3939" s="4" t="s">
        <v>9379</v>
      </c>
      <c r="B3939" s="5" t="s">
        <v>9380</v>
      </c>
      <c r="C3939" s="5" t="s">
        <v>198</v>
      </c>
      <c r="D3939" s="5" t="s">
        <v>66</v>
      </c>
      <c r="E3939" s="5" t="s">
        <v>1337</v>
      </c>
      <c r="F3939" s="9">
        <v>7</v>
      </c>
      <c r="G3939" s="9">
        <v>71</v>
      </c>
      <c r="H3939" s="5" t="s">
        <v>20</v>
      </c>
      <c r="I3939" s="5" t="s">
        <v>9381</v>
      </c>
      <c r="J3939" s="12" t="str">
        <f>HYPERLINK("https://www.boe.es/gazeta/dias/1804/01/24/pdfs/GMD-1804-7.pdf#page=11","Abrir facsímil")</f>
        <v>Abrir facsímil</v>
      </c>
      <c r="K3939" s="15" t="s">
        <v>22</v>
      </c>
    </row>
    <row r="3940" spans="1:11" ht="42" customHeight="1">
      <c r="A3940" s="4" t="s">
        <v>9382</v>
      </c>
      <c r="B3940" s="5" t="s">
        <v>9382</v>
      </c>
      <c r="C3940" s="5" t="s">
        <v>57</v>
      </c>
      <c r="D3940" s="5" t="s">
        <v>58</v>
      </c>
      <c r="E3940" s="5" t="s">
        <v>54</v>
      </c>
      <c r="F3940" s="9">
        <v>63</v>
      </c>
      <c r="G3940" s="9">
        <v>695</v>
      </c>
      <c r="H3940" s="5" t="s">
        <v>20</v>
      </c>
      <c r="I3940" s="5" t="s">
        <v>9383</v>
      </c>
      <c r="J3940" s="12" t="str">
        <f>HYPERLINK("https://www.boe.es/gazeta/dias/1804/08/07/pdfs/GMD-1804-63.pdf#page=5","Abrir facsímil")</f>
        <v>Abrir facsímil</v>
      </c>
      <c r="K3940" s="15" t="s">
        <v>22</v>
      </c>
    </row>
    <row r="3941" spans="1:11" ht="42" customHeight="1">
      <c r="A3941" s="4" t="s">
        <v>9384</v>
      </c>
      <c r="B3941" s="5" t="s">
        <v>9385</v>
      </c>
      <c r="C3941" s="5" t="s">
        <v>85</v>
      </c>
      <c r="D3941" s="5" t="s">
        <v>86</v>
      </c>
      <c r="E3941" s="5" t="s">
        <v>490</v>
      </c>
      <c r="F3941" s="9">
        <v>100</v>
      </c>
      <c r="G3941" s="9">
        <v>1111</v>
      </c>
      <c r="H3941" s="5" t="s">
        <v>20</v>
      </c>
      <c r="I3941" s="5" t="s">
        <v>9386</v>
      </c>
      <c r="J3941" s="12" t="str">
        <f>HYPERLINK("https://www.boe.es/gazeta/dias/1804/12/14/pdfs/GMD-1804-100.pdf#page=3","Abrir facsímil")</f>
        <v>Abrir facsímil</v>
      </c>
      <c r="K3941" s="15" t="s">
        <v>22</v>
      </c>
    </row>
    <row r="3942" spans="1:11" ht="42" customHeight="1">
      <c r="A3942" s="4" t="s">
        <v>9387</v>
      </c>
      <c r="B3942" s="5" t="s">
        <v>9388</v>
      </c>
      <c r="C3942" s="5" t="s">
        <v>65</v>
      </c>
      <c r="D3942" s="5" t="s">
        <v>66</v>
      </c>
      <c r="E3942" s="5" t="s">
        <v>111</v>
      </c>
      <c r="F3942" s="9">
        <v>40</v>
      </c>
      <c r="G3942" s="9">
        <v>448</v>
      </c>
      <c r="H3942" s="5" t="s">
        <v>20</v>
      </c>
      <c r="I3942" s="5" t="s">
        <v>9389</v>
      </c>
      <c r="J3942" s="12" t="str">
        <f>HYPERLINK("https://www.boe.es/gazeta/dias/1804/05/18/pdfs/GMD-1804-40.pdf#page=10","Abrir facsímil")</f>
        <v>Abrir facsímil</v>
      </c>
      <c r="K3942" s="15" t="s">
        <v>22</v>
      </c>
    </row>
    <row r="3943" spans="1:11" ht="42" customHeight="1">
      <c r="A3943" s="4" t="s">
        <v>9390</v>
      </c>
      <c r="B3943" s="5" t="s">
        <v>9391</v>
      </c>
      <c r="C3943" s="5" t="s">
        <v>27</v>
      </c>
      <c r="D3943" s="5" t="s">
        <v>28</v>
      </c>
      <c r="E3943" s="5" t="s">
        <v>226</v>
      </c>
      <c r="F3943" s="9">
        <v>17</v>
      </c>
      <c r="G3943" s="9">
        <v>187</v>
      </c>
      <c r="H3943" s="5" t="s">
        <v>20</v>
      </c>
      <c r="I3943" s="5" t="s">
        <v>9392</v>
      </c>
      <c r="J3943" s="12" t="str">
        <f>HYPERLINK("https://www.boe.es/gazeta/dias/1804/02/28/pdfs/GMD-1804-17.pdf#page=7","Abrir facsímil")</f>
        <v>Abrir facsímil</v>
      </c>
      <c r="K3943" s="15" t="s">
        <v>22</v>
      </c>
    </row>
    <row r="3944" spans="1:11" ht="42" customHeight="1">
      <c r="A3944" s="4" t="s">
        <v>9393</v>
      </c>
      <c r="B3944" s="5" t="s">
        <v>9394</v>
      </c>
      <c r="C3944" s="5" t="s">
        <v>198</v>
      </c>
      <c r="D3944" s="5" t="s">
        <v>66</v>
      </c>
      <c r="E3944" s="5" t="s">
        <v>230</v>
      </c>
      <c r="F3944" s="9">
        <v>26</v>
      </c>
      <c r="G3944" s="9">
        <v>293</v>
      </c>
      <c r="H3944" s="5" t="s">
        <v>20</v>
      </c>
      <c r="I3944" s="5" t="s">
        <v>9395</v>
      </c>
      <c r="J3944" s="12" t="str">
        <f>HYPERLINK("https://www.boe.es/gazeta/dias/1804/03/30/pdfs/GMD-1804-26.pdf#page=7","Abrir facsímil")</f>
        <v>Abrir facsímil</v>
      </c>
      <c r="K3944" s="15" t="s">
        <v>22</v>
      </c>
    </row>
    <row r="3945" spans="1:11" ht="42" customHeight="1">
      <c r="A3945" s="4" t="s">
        <v>9396</v>
      </c>
      <c r="B3945" s="5" t="s">
        <v>9397</v>
      </c>
      <c r="C3945" s="5" t="s">
        <v>27</v>
      </c>
      <c r="D3945" s="5" t="s">
        <v>28</v>
      </c>
      <c r="E3945" s="5" t="s">
        <v>67</v>
      </c>
      <c r="F3945" s="9">
        <v>59</v>
      </c>
      <c r="G3945" s="9">
        <v>654</v>
      </c>
      <c r="H3945" s="5" t="s">
        <v>20</v>
      </c>
      <c r="I3945" s="5" t="s">
        <v>9398</v>
      </c>
      <c r="J3945" s="12" t="str">
        <f>HYPERLINK("https://www.boe.es/gazeta/dias/1804/07/24/pdfs/GMD-1804-59.pdf#page=8","Abrir facsímil")</f>
        <v>Abrir facsímil</v>
      </c>
      <c r="K3945" s="15" t="s">
        <v>22</v>
      </c>
    </row>
    <row r="3946" spans="1:11" ht="42" customHeight="1">
      <c r="A3946" s="4" t="s">
        <v>9399</v>
      </c>
      <c r="B3946" s="5" t="s">
        <v>9400</v>
      </c>
      <c r="C3946" s="5" t="s">
        <v>65</v>
      </c>
      <c r="D3946" s="5" t="s">
        <v>66</v>
      </c>
      <c r="E3946" s="5" t="s">
        <v>111</v>
      </c>
      <c r="F3946" s="9">
        <v>40</v>
      </c>
      <c r="G3946" s="9">
        <v>448</v>
      </c>
      <c r="H3946" s="5" t="s">
        <v>20</v>
      </c>
      <c r="I3946" s="5" t="s">
        <v>9401</v>
      </c>
      <c r="J3946" s="12" t="str">
        <f>HYPERLINK("https://www.boe.es/gazeta/dias/1804/05/18/pdfs/GMD-1804-40.pdf#page=10","Abrir facsímil")</f>
        <v>Abrir facsímil</v>
      </c>
      <c r="K3946" s="15" t="s">
        <v>22</v>
      </c>
    </row>
    <row r="3947" spans="1:11" ht="42" customHeight="1">
      <c r="A3947" s="4" t="s">
        <v>9399</v>
      </c>
      <c r="B3947" s="5" t="s">
        <v>9400</v>
      </c>
      <c r="C3947" s="5" t="s">
        <v>65</v>
      </c>
      <c r="D3947" s="5" t="s">
        <v>66</v>
      </c>
      <c r="E3947" s="5" t="s">
        <v>111</v>
      </c>
      <c r="F3947" s="9">
        <v>40</v>
      </c>
      <c r="G3947" s="9">
        <v>449</v>
      </c>
      <c r="H3947" s="5" t="s">
        <v>20</v>
      </c>
      <c r="I3947" s="5" t="s">
        <v>9402</v>
      </c>
      <c r="J3947" s="12" t="str">
        <f>HYPERLINK("https://www.boe.es/gazeta/dias/1804/05/18/pdfs/GMD-1804-40.pdf#page=11","Abrir facsímil")</f>
        <v>Abrir facsímil</v>
      </c>
      <c r="K3947" s="15" t="s">
        <v>22</v>
      </c>
    </row>
    <row r="3948" spans="1:11" ht="42" customHeight="1">
      <c r="A3948" s="4" t="s">
        <v>9399</v>
      </c>
      <c r="B3948" s="5" t="s">
        <v>9400</v>
      </c>
      <c r="C3948" s="5" t="s">
        <v>27</v>
      </c>
      <c r="D3948" s="5" t="s">
        <v>28</v>
      </c>
      <c r="E3948" s="5" t="s">
        <v>91</v>
      </c>
      <c r="F3948" s="9">
        <v>72</v>
      </c>
      <c r="G3948" s="9">
        <v>806</v>
      </c>
      <c r="H3948" s="5" t="s">
        <v>20</v>
      </c>
      <c r="I3948" s="5" t="s">
        <v>9403</v>
      </c>
      <c r="J3948" s="12" t="str">
        <f>HYPERLINK("https://www.boe.es/gazeta/dias/1804/09/07/pdfs/GMD-1804-72.pdf#page=8","Abrir facsímil")</f>
        <v>Abrir facsímil</v>
      </c>
      <c r="K3948" s="15" t="s">
        <v>22</v>
      </c>
    </row>
    <row r="3949" spans="1:11" ht="42" customHeight="1">
      <c r="A3949" s="4" t="s">
        <v>9404</v>
      </c>
      <c r="B3949" s="5" t="s">
        <v>9405</v>
      </c>
      <c r="C3949" s="5" t="s">
        <v>57</v>
      </c>
      <c r="D3949" s="5" t="s">
        <v>58</v>
      </c>
      <c r="E3949" s="5" t="s">
        <v>59</v>
      </c>
      <c r="F3949" s="9">
        <v>55</v>
      </c>
      <c r="G3949" s="9">
        <v>610</v>
      </c>
      <c r="H3949" s="5" t="s">
        <v>20</v>
      </c>
      <c r="I3949" s="5" t="s">
        <v>9406</v>
      </c>
      <c r="J3949" s="12" t="str">
        <f>HYPERLINK("https://www.boe.es/gazeta/dias/1804/07/10/pdfs/GMD-1804-55.pdf#page=8","Abrir facsímil")</f>
        <v>Abrir facsímil</v>
      </c>
      <c r="K3949" s="15" t="s">
        <v>22</v>
      </c>
    </row>
    <row r="3950" spans="1:11" ht="42" customHeight="1">
      <c r="A3950" s="4" t="s">
        <v>9407</v>
      </c>
      <c r="B3950" s="5" t="s">
        <v>9408</v>
      </c>
      <c r="C3950" s="5" t="s">
        <v>17</v>
      </c>
      <c r="D3950" s="5" t="s">
        <v>18</v>
      </c>
      <c r="E3950" s="5" t="s">
        <v>388</v>
      </c>
      <c r="F3950" s="9">
        <v>18</v>
      </c>
      <c r="G3950" s="9">
        <v>195</v>
      </c>
      <c r="H3950" s="5" t="s">
        <v>20</v>
      </c>
      <c r="I3950" s="5" t="s">
        <v>9409</v>
      </c>
      <c r="J3950" s="12" t="str">
        <f>HYPERLINK("https://www.boe.es/gazeta/dias/1804/03/02/pdfs/GMD-1804-18.pdf#page=7","Abrir facsímil")</f>
        <v>Abrir facsímil</v>
      </c>
      <c r="K3950" s="15" t="s">
        <v>22</v>
      </c>
    </row>
    <row r="3951" spans="1:11" ht="42" customHeight="1">
      <c r="A3951" s="4" t="s">
        <v>9410</v>
      </c>
      <c r="B3951" s="5" t="s">
        <v>9411</v>
      </c>
      <c r="C3951" s="5" t="s">
        <v>57</v>
      </c>
      <c r="D3951" s="5" t="s">
        <v>58</v>
      </c>
      <c r="E3951" s="5" t="s">
        <v>59</v>
      </c>
      <c r="F3951" s="9">
        <v>55</v>
      </c>
      <c r="G3951" s="9">
        <v>605</v>
      </c>
      <c r="H3951" s="5" t="s">
        <v>20</v>
      </c>
      <c r="I3951" s="5" t="s">
        <v>9412</v>
      </c>
      <c r="J3951" s="12" t="str">
        <f>HYPERLINK("https://www.boe.es/gazeta/dias/1804/07/10/pdfs/GMD-1804-55.pdf#page=3","Abrir facsímil")</f>
        <v>Abrir facsímil</v>
      </c>
      <c r="K3951" s="15" t="s">
        <v>22</v>
      </c>
    </row>
    <row r="3952" spans="1:11" ht="42" customHeight="1">
      <c r="A3952" s="4" t="s">
        <v>9413</v>
      </c>
      <c r="B3952" s="5" t="s">
        <v>9414</v>
      </c>
      <c r="C3952" s="5" t="s">
        <v>17</v>
      </c>
      <c r="D3952" s="5" t="s">
        <v>18</v>
      </c>
      <c r="E3952" s="5" t="s">
        <v>388</v>
      </c>
      <c r="F3952" s="9">
        <v>18</v>
      </c>
      <c r="G3952" s="9">
        <v>196</v>
      </c>
      <c r="H3952" s="5" t="s">
        <v>20</v>
      </c>
      <c r="I3952" s="5" t="s">
        <v>9415</v>
      </c>
      <c r="J3952" s="12" t="str">
        <f>HYPERLINK("https://www.boe.es/gazeta/dias/1804/03/02/pdfs/GMD-1804-18.pdf#page=8","Abrir facsímil")</f>
        <v>Abrir facsímil</v>
      </c>
      <c r="K3952" s="15" t="s">
        <v>22</v>
      </c>
    </row>
    <row r="3953" spans="1:11" ht="42" customHeight="1">
      <c r="A3953" s="4" t="s">
        <v>9413</v>
      </c>
      <c r="B3953" s="5" t="s">
        <v>9414</v>
      </c>
      <c r="C3953" s="5" t="s">
        <v>85</v>
      </c>
      <c r="D3953" s="5" t="s">
        <v>86</v>
      </c>
      <c r="E3953" s="5" t="s">
        <v>320</v>
      </c>
      <c r="F3953" s="9">
        <v>31</v>
      </c>
      <c r="G3953" s="9">
        <v>339</v>
      </c>
      <c r="H3953" s="5" t="s">
        <v>20</v>
      </c>
      <c r="I3953" s="5" t="s">
        <v>9416</v>
      </c>
      <c r="J3953" s="12" t="str">
        <f>HYPERLINK("https://www.boe.es/gazeta/dias/1804/04/17/pdfs/GMD-1804-31.pdf#page=5","Abrir facsímil")</f>
        <v>Abrir facsímil</v>
      </c>
      <c r="K3953" s="15" t="s">
        <v>22</v>
      </c>
    </row>
    <row r="3954" spans="1:11" ht="42" customHeight="1">
      <c r="A3954" s="4" t="s">
        <v>9413</v>
      </c>
      <c r="B3954" s="5" t="s">
        <v>9414</v>
      </c>
      <c r="C3954" s="5" t="s">
        <v>57</v>
      </c>
      <c r="D3954" s="5" t="s">
        <v>58</v>
      </c>
      <c r="E3954" s="5" t="s">
        <v>33</v>
      </c>
      <c r="F3954" s="9">
        <v>48</v>
      </c>
      <c r="G3954" s="9">
        <v>531</v>
      </c>
      <c r="H3954" s="5" t="s">
        <v>20</v>
      </c>
      <c r="I3954" s="5" t="s">
        <v>9417</v>
      </c>
      <c r="J3954" s="12" t="str">
        <f>HYPERLINK("https://www.boe.es/gazeta/dias/1804/06/15/pdfs/GMD-1804-48.pdf#page=1","Abrir facsímil")</f>
        <v>Abrir facsímil</v>
      </c>
      <c r="K3954" s="15" t="s">
        <v>22</v>
      </c>
    </row>
    <row r="3955" spans="1:11" ht="42" customHeight="1">
      <c r="A3955" s="4" t="s">
        <v>9413</v>
      </c>
      <c r="B3955" s="5" t="s">
        <v>9414</v>
      </c>
      <c r="C3955" s="5" t="s">
        <v>57</v>
      </c>
      <c r="D3955" s="5" t="s">
        <v>58</v>
      </c>
      <c r="E3955" s="5" t="s">
        <v>623</v>
      </c>
      <c r="F3955" s="9">
        <v>51</v>
      </c>
      <c r="G3955" s="9">
        <v>559</v>
      </c>
      <c r="H3955" s="5" t="s">
        <v>20</v>
      </c>
      <c r="I3955" s="5" t="s">
        <v>9418</v>
      </c>
      <c r="J3955" s="12" t="str">
        <f>HYPERLINK("https://www.boe.es/gazeta/dias/1804/06/26/pdfs/GMD-1804-51.pdf#page=5","Abrir facsímil")</f>
        <v>Abrir facsímil</v>
      </c>
      <c r="K3955" s="15" t="s">
        <v>22</v>
      </c>
    </row>
    <row r="3956" spans="1:11" ht="42" customHeight="1">
      <c r="A3956" s="4" t="s">
        <v>9413</v>
      </c>
      <c r="B3956" s="5" t="s">
        <v>9414</v>
      </c>
      <c r="C3956" s="5" t="s">
        <v>57</v>
      </c>
      <c r="D3956" s="5" t="s">
        <v>58</v>
      </c>
      <c r="E3956" s="5" t="s">
        <v>59</v>
      </c>
      <c r="F3956" s="9">
        <v>55</v>
      </c>
      <c r="G3956" s="9">
        <v>606</v>
      </c>
      <c r="H3956" s="5" t="s">
        <v>20</v>
      </c>
      <c r="I3956" s="5" t="s">
        <v>9419</v>
      </c>
      <c r="J3956" s="12" t="str">
        <f>HYPERLINK("https://www.boe.es/gazeta/dias/1804/07/10/pdfs/GMD-1804-55.pdf#page=4","Abrir facsímil")</f>
        <v>Abrir facsímil</v>
      </c>
      <c r="K3956" s="15" t="s">
        <v>22</v>
      </c>
    </row>
    <row r="3957" spans="1:11" ht="42" customHeight="1">
      <c r="A3957" s="4" t="s">
        <v>9413</v>
      </c>
      <c r="B3957" s="5" t="s">
        <v>9414</v>
      </c>
      <c r="C3957" s="5" t="s">
        <v>57</v>
      </c>
      <c r="D3957" s="5" t="s">
        <v>58</v>
      </c>
      <c r="E3957" s="5" t="s">
        <v>59</v>
      </c>
      <c r="F3957" s="9">
        <v>55</v>
      </c>
      <c r="G3957" s="9">
        <v>607</v>
      </c>
      <c r="H3957" s="5" t="s">
        <v>20</v>
      </c>
      <c r="I3957" s="5" t="s">
        <v>9420</v>
      </c>
      <c r="J3957" s="12" t="str">
        <f>HYPERLINK("https://www.boe.es/gazeta/dias/1804/07/10/pdfs/GMD-1804-55.pdf#page=5","Abrir facsímil")</f>
        <v>Abrir facsímil</v>
      </c>
      <c r="K3957" s="15" t="s">
        <v>22</v>
      </c>
    </row>
    <row r="3958" spans="1:11" ht="42" customHeight="1">
      <c r="A3958" s="4" t="s">
        <v>9413</v>
      </c>
      <c r="B3958" s="5" t="s">
        <v>9414</v>
      </c>
      <c r="C3958" s="5" t="s">
        <v>57</v>
      </c>
      <c r="D3958" s="5" t="s">
        <v>58</v>
      </c>
      <c r="E3958" s="5" t="s">
        <v>59</v>
      </c>
      <c r="F3958" s="9">
        <v>55</v>
      </c>
      <c r="G3958" s="9">
        <v>610</v>
      </c>
      <c r="H3958" s="5" t="s">
        <v>20</v>
      </c>
      <c r="I3958" s="5" t="s">
        <v>9421</v>
      </c>
      <c r="J3958" s="12" t="str">
        <f>HYPERLINK("https://www.boe.es/gazeta/dias/1804/07/10/pdfs/GMD-1804-55.pdf#page=8","Abrir facsímil")</f>
        <v>Abrir facsímil</v>
      </c>
      <c r="K3958" s="15" t="s">
        <v>22</v>
      </c>
    </row>
    <row r="3959" spans="1:11" ht="42" customHeight="1">
      <c r="A3959" s="4" t="s">
        <v>9413</v>
      </c>
      <c r="B3959" s="5" t="s">
        <v>9414</v>
      </c>
      <c r="C3959" s="5" t="s">
        <v>57</v>
      </c>
      <c r="D3959" s="5" t="s">
        <v>58</v>
      </c>
      <c r="E3959" s="5" t="s">
        <v>59</v>
      </c>
      <c r="F3959" s="9">
        <v>55</v>
      </c>
      <c r="G3959" s="9">
        <v>611</v>
      </c>
      <c r="H3959" s="5" t="s">
        <v>20</v>
      </c>
      <c r="I3959" s="5" t="s">
        <v>9422</v>
      </c>
      <c r="J3959" s="12" t="str">
        <f>HYPERLINK("https://www.boe.es/gazeta/dias/1804/07/10/pdfs/GMD-1804-55.pdf#page=9","Abrir facsímil")</f>
        <v>Abrir facsímil</v>
      </c>
      <c r="K3959" s="15" t="s">
        <v>22</v>
      </c>
    </row>
    <row r="3960" spans="1:11" ht="42" customHeight="1">
      <c r="A3960" s="4" t="s">
        <v>9413</v>
      </c>
      <c r="B3960" s="5" t="s">
        <v>9414</v>
      </c>
      <c r="C3960" s="5" t="s">
        <v>27</v>
      </c>
      <c r="D3960" s="5" t="s">
        <v>28</v>
      </c>
      <c r="E3960" s="5" t="s">
        <v>59</v>
      </c>
      <c r="F3960" s="9">
        <v>55</v>
      </c>
      <c r="G3960" s="9">
        <v>612</v>
      </c>
      <c r="H3960" s="5" t="s">
        <v>20</v>
      </c>
      <c r="I3960" s="5" t="s">
        <v>9423</v>
      </c>
      <c r="J3960" s="12" t="str">
        <f>HYPERLINK("https://www.boe.es/gazeta/dias/1804/07/10/pdfs/GMD-1804-55.pdf#page=10","Abrir facsímil")</f>
        <v>Abrir facsímil</v>
      </c>
      <c r="K3960" s="15" t="s">
        <v>22</v>
      </c>
    </row>
    <row r="3961" spans="1:11" ht="42" customHeight="1">
      <c r="A3961" s="4" t="s">
        <v>9424</v>
      </c>
      <c r="B3961" s="5" t="s">
        <v>9425</v>
      </c>
      <c r="C3961" s="5" t="s">
        <v>198</v>
      </c>
      <c r="D3961" s="5" t="s">
        <v>66</v>
      </c>
      <c r="E3961" s="5" t="s">
        <v>111</v>
      </c>
      <c r="F3961" s="9">
        <v>40</v>
      </c>
      <c r="G3961" s="9">
        <v>450</v>
      </c>
      <c r="H3961" s="5" t="s">
        <v>20</v>
      </c>
      <c r="I3961" s="5" t="s">
        <v>9426</v>
      </c>
      <c r="J3961" s="12" t="str">
        <f>HYPERLINK("https://www.boe.es/gazeta/dias/1804/05/18/pdfs/GMD-1804-40.pdf#page=12","Abrir facsímil")</f>
        <v>Abrir facsímil</v>
      </c>
      <c r="K3961" s="15" t="s">
        <v>22</v>
      </c>
    </row>
    <row r="3962" spans="1:11" ht="42" customHeight="1">
      <c r="A3962" s="4" t="s">
        <v>9427</v>
      </c>
      <c r="B3962" s="5" t="s">
        <v>9428</v>
      </c>
      <c r="C3962" s="5" t="s">
        <v>27</v>
      </c>
      <c r="D3962" s="5" t="s">
        <v>28</v>
      </c>
      <c r="E3962" s="5" t="s">
        <v>143</v>
      </c>
      <c r="F3962" s="9">
        <v>87</v>
      </c>
      <c r="G3962" s="9">
        <v>963</v>
      </c>
      <c r="H3962" s="5" t="s">
        <v>20</v>
      </c>
      <c r="I3962" s="5" t="s">
        <v>9429</v>
      </c>
      <c r="J3962" s="12" t="str">
        <f>HYPERLINK("https://www.boe.es/gazeta/dias/1804/10/30/pdfs/GMD-1804-87.pdf#page=7","Abrir facsímil")</f>
        <v>Abrir facsímil</v>
      </c>
      <c r="K3962" s="15" t="s">
        <v>22</v>
      </c>
    </row>
    <row r="3963" spans="1:11" ht="42" customHeight="1">
      <c r="A3963" s="4" t="s">
        <v>9430</v>
      </c>
      <c r="B3963" s="5" t="s">
        <v>9431</v>
      </c>
      <c r="C3963" s="5" t="s">
        <v>120</v>
      </c>
      <c r="D3963" s="5" t="s">
        <v>121</v>
      </c>
      <c r="E3963" s="5" t="s">
        <v>33</v>
      </c>
      <c r="F3963" s="9">
        <v>48</v>
      </c>
      <c r="G3963" s="9" t="s">
        <v>819</v>
      </c>
      <c r="H3963" s="5" t="s">
        <v>20</v>
      </c>
      <c r="I3963" s="5" t="s">
        <v>9432</v>
      </c>
      <c r="J3963" s="12" t="str">
        <f>HYPERLINK("https://www.boe.es/gazeta/dias/1804/06/15/pdfs/GMD-C-1804-48.pdf#page=4","Abrir facsímil")</f>
        <v>Abrir facsímil</v>
      </c>
      <c r="K3963" s="15" t="s">
        <v>22</v>
      </c>
    </row>
    <row r="3964" spans="1:11" ht="42" customHeight="1">
      <c r="A3964" s="4" t="s">
        <v>9433</v>
      </c>
      <c r="B3964" s="5" t="s">
        <v>9434</v>
      </c>
      <c r="C3964" s="5" t="s">
        <v>17</v>
      </c>
      <c r="D3964" s="5" t="s">
        <v>18</v>
      </c>
      <c r="E3964" s="5" t="s">
        <v>37</v>
      </c>
      <c r="F3964" s="9">
        <v>29</v>
      </c>
      <c r="G3964" s="9">
        <v>318</v>
      </c>
      <c r="H3964" s="5" t="s">
        <v>20</v>
      </c>
      <c r="I3964" s="5" t="s">
        <v>9435</v>
      </c>
      <c r="J3964" s="12" t="str">
        <f>HYPERLINK("https://www.boe.es/gazeta/dias/1804/04/10/pdfs/GMD-1804-29.pdf#page=8","Abrir facsímil")</f>
        <v>Abrir facsímil</v>
      </c>
      <c r="K3964" s="15" t="s">
        <v>22</v>
      </c>
    </row>
    <row r="3965" spans="1:11" ht="42" customHeight="1">
      <c r="A3965" s="4" t="s">
        <v>9436</v>
      </c>
      <c r="B3965" s="5" t="s">
        <v>9437</v>
      </c>
      <c r="C3965" s="5" t="s">
        <v>27</v>
      </c>
      <c r="D3965" s="5" t="s">
        <v>28</v>
      </c>
      <c r="E3965" s="5" t="s">
        <v>75</v>
      </c>
      <c r="F3965" s="9">
        <v>16</v>
      </c>
      <c r="G3965" s="9">
        <v>173</v>
      </c>
      <c r="H3965" s="5" t="s">
        <v>20</v>
      </c>
      <c r="I3965" s="5" t="s">
        <v>9438</v>
      </c>
      <c r="J3965" s="12" t="str">
        <f>HYPERLINK("https://www.boe.es/gazeta/dias/1804/02/24/pdfs/GMD-1804-16.pdf#page=9","Abrir facsímil")</f>
        <v>Abrir facsímil</v>
      </c>
      <c r="K3965" s="15" t="s">
        <v>22</v>
      </c>
    </row>
    <row r="3966" spans="1:11" ht="42" customHeight="1">
      <c r="A3966" s="4" t="s">
        <v>9439</v>
      </c>
      <c r="B3966" s="5" t="s">
        <v>9440</v>
      </c>
      <c r="C3966" s="5" t="s">
        <v>65</v>
      </c>
      <c r="D3966" s="5" t="s">
        <v>66</v>
      </c>
      <c r="E3966" s="5" t="s">
        <v>212</v>
      </c>
      <c r="F3966" s="9">
        <v>89</v>
      </c>
      <c r="G3966" s="9">
        <v>991</v>
      </c>
      <c r="H3966" s="5" t="s">
        <v>20</v>
      </c>
      <c r="I3966" s="5" t="s">
        <v>9441</v>
      </c>
      <c r="J3966" s="12" t="str">
        <f>HYPERLINK("https://www.boe.es/gazeta/dias/1804/11/06/pdfs/GMD-1804-89.pdf#page=11","Abrir facsímil")</f>
        <v>Abrir facsímil</v>
      </c>
      <c r="K3966" s="15" t="s">
        <v>22</v>
      </c>
    </row>
    <row r="3967" spans="1:11" ht="42" customHeight="1">
      <c r="A3967" s="4" t="s">
        <v>9442</v>
      </c>
      <c r="B3967" s="5" t="s">
        <v>9443</v>
      </c>
      <c r="C3967" s="5" t="s">
        <v>27</v>
      </c>
      <c r="D3967" s="5" t="s">
        <v>28</v>
      </c>
      <c r="E3967" s="5" t="s">
        <v>91</v>
      </c>
      <c r="F3967" s="9">
        <v>72</v>
      </c>
      <c r="G3967" s="9">
        <v>805</v>
      </c>
      <c r="H3967" s="5" t="s">
        <v>20</v>
      </c>
      <c r="I3967" s="5" t="s">
        <v>9444</v>
      </c>
      <c r="J3967" s="12" t="str">
        <f>HYPERLINK("https://www.boe.es/gazeta/dias/1804/09/07/pdfs/GMD-1804-72.pdf#page=7","Abrir facsímil")</f>
        <v>Abrir facsímil</v>
      </c>
      <c r="K3967" s="15" t="s">
        <v>22</v>
      </c>
    </row>
    <row r="3968" spans="1:11" ht="42" customHeight="1">
      <c r="A3968" s="4" t="s">
        <v>9445</v>
      </c>
      <c r="B3968" s="5" t="s">
        <v>9446</v>
      </c>
      <c r="C3968" s="5" t="s">
        <v>27</v>
      </c>
      <c r="D3968" s="5" t="s">
        <v>28</v>
      </c>
      <c r="E3968" s="5" t="s">
        <v>367</v>
      </c>
      <c r="F3968" s="9">
        <v>64</v>
      </c>
      <c r="G3968" s="9">
        <v>714</v>
      </c>
      <c r="H3968" s="5" t="s">
        <v>20</v>
      </c>
      <c r="I3968" s="5" t="s">
        <v>9447</v>
      </c>
      <c r="J3968" s="12" t="str">
        <f>HYPERLINK("https://www.boe.es/gazeta/dias/1804/08/10/pdfs/GMD-1804-64.pdf#page=8","Abrir facsímil")</f>
        <v>Abrir facsímil</v>
      </c>
      <c r="K3968" s="15" t="s">
        <v>22</v>
      </c>
    </row>
    <row r="3969" spans="1:11" ht="42" customHeight="1">
      <c r="A3969" s="4" t="s">
        <v>9448</v>
      </c>
      <c r="B3969" s="5" t="s">
        <v>9449</v>
      </c>
      <c r="C3969" s="5" t="s">
        <v>65</v>
      </c>
      <c r="D3969" s="5" t="s">
        <v>66</v>
      </c>
      <c r="E3969" s="5" t="s">
        <v>19</v>
      </c>
      <c r="F3969" s="9">
        <v>60</v>
      </c>
      <c r="G3969" s="9">
        <v>669</v>
      </c>
      <c r="H3969" s="5" t="s">
        <v>20</v>
      </c>
      <c r="I3969" s="5" t="s">
        <v>9450</v>
      </c>
      <c r="J3969" s="12" t="str">
        <f>HYPERLINK("https://www.boe.es/gazeta/dias/1804/07/27/pdfs/GMD-1804-60.pdf#page=11","Abrir facsímil")</f>
        <v>Abrir facsímil</v>
      </c>
      <c r="K3969" s="15" t="s">
        <v>22</v>
      </c>
    </row>
    <row r="3970" spans="1:11" ht="42" customHeight="1">
      <c r="A3970" s="4" t="s">
        <v>9451</v>
      </c>
      <c r="B3970" s="5" t="s">
        <v>9452</v>
      </c>
      <c r="C3970" s="5" t="s">
        <v>17</v>
      </c>
      <c r="D3970" s="5" t="s">
        <v>18</v>
      </c>
      <c r="E3970" s="5" t="s">
        <v>388</v>
      </c>
      <c r="F3970" s="9">
        <v>18</v>
      </c>
      <c r="G3970" s="9">
        <v>198</v>
      </c>
      <c r="H3970" s="5" t="s">
        <v>20</v>
      </c>
      <c r="I3970" s="5" t="s">
        <v>9453</v>
      </c>
      <c r="J3970" s="12" t="str">
        <f>HYPERLINK("https://www.boe.es/gazeta/dias/1804/03/02/pdfs/GMD-1804-18.pdf#page=10","Abrir facsímil")</f>
        <v>Abrir facsímil</v>
      </c>
      <c r="K3970" s="15" t="s">
        <v>22</v>
      </c>
    </row>
    <row r="3971" spans="1:11" ht="42" customHeight="1">
      <c r="A3971" s="4" t="s">
        <v>9454</v>
      </c>
      <c r="B3971" s="5" t="s">
        <v>9455</v>
      </c>
      <c r="C3971" s="5" t="s">
        <v>65</v>
      </c>
      <c r="D3971" s="5" t="s">
        <v>66</v>
      </c>
      <c r="E3971" s="5" t="s">
        <v>67</v>
      </c>
      <c r="F3971" s="9">
        <v>59</v>
      </c>
      <c r="G3971" s="9">
        <v>653</v>
      </c>
      <c r="H3971" s="5" t="s">
        <v>20</v>
      </c>
      <c r="I3971" s="5" t="s">
        <v>9456</v>
      </c>
      <c r="J3971" s="12" t="str">
        <f>HYPERLINK("https://www.boe.es/gazeta/dias/1804/07/24/pdfs/GMD-1804-59.pdf#page=7","Abrir facsímil")</f>
        <v>Abrir facsímil</v>
      </c>
      <c r="K3971" s="15" t="s">
        <v>22</v>
      </c>
    </row>
    <row r="3972" spans="1:11" ht="42" customHeight="1">
      <c r="A3972" s="4" t="s">
        <v>9457</v>
      </c>
      <c r="B3972" s="5" t="s">
        <v>9458</v>
      </c>
      <c r="C3972" s="5" t="s">
        <v>17</v>
      </c>
      <c r="D3972" s="5" t="s">
        <v>18</v>
      </c>
      <c r="E3972" s="5" t="s">
        <v>736</v>
      </c>
      <c r="F3972" s="9">
        <v>83</v>
      </c>
      <c r="G3972" s="9">
        <v>919</v>
      </c>
      <c r="H3972" s="5" t="s">
        <v>20</v>
      </c>
      <c r="I3972" s="5" t="s">
        <v>9459</v>
      </c>
      <c r="J3972" s="12" t="str">
        <f>HYPERLINK("https://www.boe.es/gazeta/dias/1804/10/16/pdfs/GMD-1804-83.pdf#page=9","Abrir facsímil")</f>
        <v>Abrir facsímil</v>
      </c>
      <c r="K3972" s="15" t="s">
        <v>22</v>
      </c>
    </row>
    <row r="3973" spans="1:11" ht="42" customHeight="1">
      <c r="A3973" s="4" t="s">
        <v>9460</v>
      </c>
      <c r="B3973" s="5" t="s">
        <v>9461</v>
      </c>
      <c r="C3973" s="5" t="s">
        <v>65</v>
      </c>
      <c r="D3973" s="5" t="s">
        <v>66</v>
      </c>
      <c r="E3973" s="5" t="s">
        <v>332</v>
      </c>
      <c r="F3973" s="9">
        <v>66</v>
      </c>
      <c r="G3973" s="9">
        <v>741</v>
      </c>
      <c r="H3973" s="5" t="s">
        <v>20</v>
      </c>
      <c r="I3973" s="5" t="s">
        <v>9462</v>
      </c>
      <c r="J3973" s="12" t="str">
        <f>HYPERLINK("https://www.boe.es/gazeta/dias/1804/08/17/pdfs/GMD-1804-66.pdf#page=7","Abrir facsímil")</f>
        <v>Abrir facsímil</v>
      </c>
      <c r="K3973" s="15" t="s">
        <v>22</v>
      </c>
    </row>
    <row r="3974" spans="1:11" ht="42" customHeight="1">
      <c r="A3974" s="4" t="s">
        <v>9463</v>
      </c>
      <c r="B3974" s="5" t="s">
        <v>9464</v>
      </c>
      <c r="C3974" s="5" t="s">
        <v>57</v>
      </c>
      <c r="D3974" s="5" t="s">
        <v>58</v>
      </c>
      <c r="E3974" s="5" t="s">
        <v>699</v>
      </c>
      <c r="F3974" s="9">
        <v>2</v>
      </c>
      <c r="G3974" s="9">
        <v>14</v>
      </c>
      <c r="H3974" s="5" t="s">
        <v>20</v>
      </c>
      <c r="I3974" s="5" t="s">
        <v>9465</v>
      </c>
      <c r="J3974" s="12" t="str">
        <f>HYPERLINK("https://www.boe.es/gazeta/dias/1804/01/06/pdfs/GMD-1804-2.pdf#page=2","Abrir facsímil")</f>
        <v>Abrir facsímil</v>
      </c>
      <c r="K3974" s="15" t="s">
        <v>22</v>
      </c>
    </row>
    <row r="3975" spans="1:11" ht="42" customHeight="1">
      <c r="A3975" s="4" t="s">
        <v>9466</v>
      </c>
      <c r="B3975" s="5" t="s">
        <v>9467</v>
      </c>
      <c r="C3975" s="5" t="s">
        <v>57</v>
      </c>
      <c r="D3975" s="5" t="s">
        <v>58</v>
      </c>
      <c r="E3975" s="5" t="s">
        <v>479</v>
      </c>
      <c r="F3975" s="9">
        <v>5</v>
      </c>
      <c r="G3975" s="9">
        <v>45</v>
      </c>
      <c r="H3975" s="5" t="s">
        <v>20</v>
      </c>
      <c r="I3975" s="5" t="s">
        <v>9468</v>
      </c>
      <c r="J3975" s="12" t="str">
        <f>HYPERLINK("https://www.boe.es/gazeta/dias/1804/01/17/pdfs/GMD-1804-5.pdf#page=5","Abrir facsímil")</f>
        <v>Abrir facsímil</v>
      </c>
      <c r="K3975" s="15" t="s">
        <v>22</v>
      </c>
    </row>
    <row r="3976" spans="1:11" ht="42" customHeight="1">
      <c r="A3976" s="4" t="s">
        <v>9469</v>
      </c>
      <c r="B3976" s="5" t="s">
        <v>9470</v>
      </c>
      <c r="C3976" s="5" t="s">
        <v>65</v>
      </c>
      <c r="D3976" s="5" t="s">
        <v>66</v>
      </c>
      <c r="E3976" s="5" t="s">
        <v>147</v>
      </c>
      <c r="F3976" s="9">
        <v>77</v>
      </c>
      <c r="G3976" s="9">
        <v>858</v>
      </c>
      <c r="H3976" s="5" t="s">
        <v>20</v>
      </c>
      <c r="I3976" s="5" t="s">
        <v>9471</v>
      </c>
      <c r="J3976" s="12" t="str">
        <f>HYPERLINK("https://www.boe.es/gazeta/dias/1804/09/25/pdfs/GMD-1804-77.pdf#page=8","Abrir facsímil")</f>
        <v>Abrir facsímil</v>
      </c>
      <c r="K3976" s="15" t="s">
        <v>22</v>
      </c>
    </row>
    <row r="3977" spans="1:11" ht="42" customHeight="1">
      <c r="A3977" s="4" t="s">
        <v>9472</v>
      </c>
      <c r="B3977" s="5" t="s">
        <v>9473</v>
      </c>
      <c r="C3977" s="5" t="s">
        <v>57</v>
      </c>
      <c r="D3977" s="5" t="s">
        <v>58</v>
      </c>
      <c r="E3977" s="5" t="s">
        <v>800</v>
      </c>
      <c r="F3977" s="9">
        <v>45</v>
      </c>
      <c r="G3977" s="9">
        <v>494</v>
      </c>
      <c r="H3977" s="5" t="s">
        <v>20</v>
      </c>
      <c r="I3977" s="5" t="s">
        <v>9474</v>
      </c>
      <c r="J3977" s="12" t="str">
        <f>HYPERLINK("https://www.boe.es/gazeta/dias/1804/06/05/pdfs/GMD-1804-45.pdf#page=4","Abrir facsímil")</f>
        <v>Abrir facsímil</v>
      </c>
      <c r="K3977" s="15" t="s">
        <v>22</v>
      </c>
    </row>
    <row r="3978" spans="1:11" ht="42" customHeight="1">
      <c r="A3978" s="4" t="s">
        <v>9475</v>
      </c>
      <c r="B3978" s="5" t="s">
        <v>9476</v>
      </c>
      <c r="C3978" s="5" t="s">
        <v>17</v>
      </c>
      <c r="D3978" s="5" t="s">
        <v>18</v>
      </c>
      <c r="E3978" s="5" t="s">
        <v>182</v>
      </c>
      <c r="F3978" s="9">
        <v>21</v>
      </c>
      <c r="G3978" s="9">
        <v>234</v>
      </c>
      <c r="H3978" s="5" t="s">
        <v>20</v>
      </c>
      <c r="I3978" s="5" t="s">
        <v>9477</v>
      </c>
      <c r="J3978" s="12" t="str">
        <f>HYPERLINK("https://www.boe.es/gazeta/dias/1804/03/13/pdfs/GMD-1804-21.pdf#page=10","Abrir facsímil")</f>
        <v>Abrir facsímil</v>
      </c>
      <c r="K3978" s="15" t="s">
        <v>22</v>
      </c>
    </row>
    <row r="3979" spans="1:11" ht="42" customHeight="1">
      <c r="A3979" s="4" t="s">
        <v>9478</v>
      </c>
      <c r="B3979" s="5" t="s">
        <v>9478</v>
      </c>
      <c r="C3979" s="5" t="s">
        <v>27</v>
      </c>
      <c r="D3979" s="5" t="s">
        <v>28</v>
      </c>
      <c r="E3979" s="5" t="s">
        <v>191</v>
      </c>
      <c r="F3979" s="9">
        <v>101</v>
      </c>
      <c r="G3979" s="9">
        <v>1121</v>
      </c>
      <c r="H3979" s="5" t="s">
        <v>20</v>
      </c>
      <c r="I3979" s="5" t="s">
        <v>9479</v>
      </c>
      <c r="J3979" s="12" t="str">
        <f>HYPERLINK("https://www.boe.es/gazeta/dias/1804/12/18/pdfs/GMD-1804-101.pdf#page=1","Abrir facsímil")</f>
        <v>Abrir facsímil</v>
      </c>
      <c r="K3979" s="15" t="s">
        <v>22</v>
      </c>
    </row>
    <row r="3980" spans="1:11" ht="42" customHeight="1">
      <c r="A3980" s="4" t="s">
        <v>9480</v>
      </c>
      <c r="B3980" s="5" t="s">
        <v>9481</v>
      </c>
      <c r="C3980" s="5" t="s">
        <v>57</v>
      </c>
      <c r="D3980" s="5" t="s">
        <v>58</v>
      </c>
      <c r="E3980" s="5" t="s">
        <v>699</v>
      </c>
      <c r="F3980" s="9">
        <v>2</v>
      </c>
      <c r="G3980" s="9">
        <v>14</v>
      </c>
      <c r="H3980" s="5" t="s">
        <v>20</v>
      </c>
      <c r="I3980" s="5" t="s">
        <v>9482</v>
      </c>
      <c r="J3980" s="12" t="str">
        <f>HYPERLINK("https://www.boe.es/gazeta/dias/1804/01/06/pdfs/GMD-1804-2.pdf#page=2","Abrir facsímil")</f>
        <v>Abrir facsímil</v>
      </c>
      <c r="K3980" s="15" t="s">
        <v>22</v>
      </c>
    </row>
    <row r="3981" spans="1:11" ht="42" customHeight="1">
      <c r="A3981" s="4" t="s">
        <v>9480</v>
      </c>
      <c r="B3981" s="5" t="s">
        <v>9481</v>
      </c>
      <c r="C3981" s="5" t="s">
        <v>27</v>
      </c>
      <c r="D3981" s="5" t="s">
        <v>28</v>
      </c>
      <c r="E3981" s="5" t="s">
        <v>222</v>
      </c>
      <c r="F3981" s="9">
        <v>4</v>
      </c>
      <c r="G3981" s="9">
        <v>30</v>
      </c>
      <c r="H3981" s="5" t="s">
        <v>20</v>
      </c>
      <c r="I3981" s="5" t="s">
        <v>9483</v>
      </c>
      <c r="J3981" s="12" t="str">
        <f>HYPERLINK("https://www.boe.es/gazeta/dias/1804/01/13/pdfs/GMD-1804-4.pdf#page=2","Abrir facsímil")</f>
        <v>Abrir facsímil</v>
      </c>
      <c r="K3981" s="15" t="s">
        <v>22</v>
      </c>
    </row>
    <row r="3982" spans="1:11" ht="42" customHeight="1">
      <c r="A3982" s="4" t="s">
        <v>9480</v>
      </c>
      <c r="B3982" s="5" t="s">
        <v>9481</v>
      </c>
      <c r="C3982" s="5" t="s">
        <v>57</v>
      </c>
      <c r="D3982" s="5" t="s">
        <v>58</v>
      </c>
      <c r="E3982" s="5" t="s">
        <v>178</v>
      </c>
      <c r="F3982" s="9">
        <v>20</v>
      </c>
      <c r="G3982" s="9">
        <v>217</v>
      </c>
      <c r="H3982" s="5" t="s">
        <v>20</v>
      </c>
      <c r="I3982" s="5" t="s">
        <v>9484</v>
      </c>
      <c r="J3982" s="12" t="str">
        <f>HYPERLINK("https://www.boe.es/gazeta/dias/1804/03/09/pdfs/GMD-1804-20.pdf#page=5","Abrir facsímil")</f>
        <v>Abrir facsímil</v>
      </c>
      <c r="K3982" s="15" t="s">
        <v>22</v>
      </c>
    </row>
    <row r="3983" spans="1:11" ht="42" customHeight="1">
      <c r="A3983" s="4" t="s">
        <v>9480</v>
      </c>
      <c r="B3983" s="5" t="s">
        <v>9481</v>
      </c>
      <c r="C3983" s="5" t="s">
        <v>57</v>
      </c>
      <c r="D3983" s="5" t="s">
        <v>58</v>
      </c>
      <c r="E3983" s="5" t="s">
        <v>41</v>
      </c>
      <c r="F3983" s="9">
        <v>24</v>
      </c>
      <c r="G3983" s="9">
        <v>273</v>
      </c>
      <c r="H3983" s="5" t="s">
        <v>20</v>
      </c>
      <c r="I3983" s="5" t="s">
        <v>9485</v>
      </c>
      <c r="J3983" s="12" t="str">
        <f>HYPERLINK("https://www.boe.es/gazeta/dias/1804/03/23/pdfs/GMD-1804-24.pdf#page=7","Abrir facsímil")</f>
        <v>Abrir facsímil</v>
      </c>
      <c r="K3983" s="15" t="s">
        <v>22</v>
      </c>
    </row>
    <row r="3984" spans="1:11" ht="42" customHeight="1">
      <c r="A3984" s="4" t="s">
        <v>9480</v>
      </c>
      <c r="B3984" s="5" t="s">
        <v>9481</v>
      </c>
      <c r="C3984" s="5" t="s">
        <v>27</v>
      </c>
      <c r="D3984" s="5" t="s">
        <v>28</v>
      </c>
      <c r="E3984" s="5" t="s">
        <v>272</v>
      </c>
      <c r="F3984" s="9">
        <v>30</v>
      </c>
      <c r="G3984" s="9">
        <v>324</v>
      </c>
      <c r="H3984" s="5" t="s">
        <v>20</v>
      </c>
      <c r="I3984" s="5" t="s">
        <v>9486</v>
      </c>
      <c r="J3984" s="12" t="str">
        <f>HYPERLINK("https://www.boe.es/gazeta/dias/1804/04/13/pdfs/GMD-1804-30.pdf#page=2","Abrir facsímil")</f>
        <v>Abrir facsímil</v>
      </c>
      <c r="K3984" s="15" t="s">
        <v>22</v>
      </c>
    </row>
    <row r="3985" spans="1:11" ht="42" customHeight="1">
      <c r="A3985" s="4" t="s">
        <v>9487</v>
      </c>
      <c r="B3985" s="5" t="s">
        <v>9488</v>
      </c>
      <c r="C3985" s="5" t="s">
        <v>57</v>
      </c>
      <c r="D3985" s="5" t="s">
        <v>58</v>
      </c>
      <c r="E3985" s="5" t="s">
        <v>41</v>
      </c>
      <c r="F3985" s="9">
        <v>24</v>
      </c>
      <c r="G3985" s="9">
        <v>269</v>
      </c>
      <c r="H3985" s="5" t="s">
        <v>20</v>
      </c>
      <c r="I3985" s="5" t="s">
        <v>9489</v>
      </c>
      <c r="J3985" s="12" t="str">
        <f>HYPERLINK("https://www.boe.es/gazeta/dias/1804/03/23/pdfs/GMD-1804-24.pdf#page=3","Abrir facsímil")</f>
        <v>Abrir facsímil</v>
      </c>
      <c r="K3985" s="15" t="s">
        <v>22</v>
      </c>
    </row>
    <row r="3986" spans="1:11" ht="42" customHeight="1">
      <c r="A3986" s="4" t="s">
        <v>9490</v>
      </c>
      <c r="B3986" s="5" t="s">
        <v>9490</v>
      </c>
      <c r="C3986" s="5" t="s">
        <v>57</v>
      </c>
      <c r="D3986" s="5" t="s">
        <v>58</v>
      </c>
      <c r="E3986" s="5" t="s">
        <v>19</v>
      </c>
      <c r="F3986" s="9">
        <v>60</v>
      </c>
      <c r="G3986" s="9">
        <v>663</v>
      </c>
      <c r="H3986" s="5" t="s">
        <v>20</v>
      </c>
      <c r="I3986" s="5" t="s">
        <v>9491</v>
      </c>
      <c r="J3986" s="12" t="str">
        <f>HYPERLINK("https://www.boe.es/gazeta/dias/1804/07/27/pdfs/GMD-1804-60.pdf#page=5","Abrir facsímil")</f>
        <v>Abrir facsímil</v>
      </c>
      <c r="K3986" s="15" t="s">
        <v>22</v>
      </c>
    </row>
    <row r="3987" spans="1:11" ht="42" customHeight="1">
      <c r="A3987" s="4" t="s">
        <v>9492</v>
      </c>
      <c r="B3987" s="5" t="s">
        <v>9493</v>
      </c>
      <c r="C3987" s="5" t="s">
        <v>27</v>
      </c>
      <c r="D3987" s="5" t="s">
        <v>28</v>
      </c>
      <c r="E3987" s="5" t="s">
        <v>782</v>
      </c>
      <c r="F3987" s="9">
        <v>75</v>
      </c>
      <c r="G3987" s="9">
        <v>840</v>
      </c>
      <c r="H3987" s="5" t="s">
        <v>20</v>
      </c>
      <c r="I3987" s="5" t="s">
        <v>9494</v>
      </c>
      <c r="J3987" s="12" t="str">
        <f>HYPERLINK("https://www.boe.es/gazeta/dias/1804/09/18/pdfs/GMD-1804-75.pdf#page=6","Abrir facsímil")</f>
        <v>Abrir facsímil</v>
      </c>
      <c r="K3987" s="15" t="s">
        <v>22</v>
      </c>
    </row>
    <row r="3988" spans="1:11" ht="42" customHeight="1">
      <c r="A3988" s="4" t="s">
        <v>9495</v>
      </c>
      <c r="B3988" s="5" t="s">
        <v>9496</v>
      </c>
      <c r="C3988" s="5" t="s">
        <v>27</v>
      </c>
      <c r="D3988" s="5" t="s">
        <v>28</v>
      </c>
      <c r="E3988" s="5" t="s">
        <v>163</v>
      </c>
      <c r="F3988" s="9">
        <v>70</v>
      </c>
      <c r="G3988" s="9">
        <v>784</v>
      </c>
      <c r="H3988" s="5" t="s">
        <v>20</v>
      </c>
      <c r="I3988" s="5" t="s">
        <v>9497</v>
      </c>
      <c r="J3988" s="12" t="str">
        <f>HYPERLINK("https://www.boe.es/gazeta/dias/1804/08/31/pdfs/GMD-1804-70.pdf#page=6","Abrir facsímil")</f>
        <v>Abrir facsímil</v>
      </c>
      <c r="K3988" s="15" t="s">
        <v>22</v>
      </c>
    </row>
    <row r="3989" spans="1:11" ht="42" customHeight="1">
      <c r="A3989" s="4" t="s">
        <v>9498</v>
      </c>
      <c r="B3989" s="5" t="s">
        <v>9499</v>
      </c>
      <c r="C3989" s="5" t="s">
        <v>27</v>
      </c>
      <c r="D3989" s="5" t="s">
        <v>28</v>
      </c>
      <c r="E3989" s="5" t="s">
        <v>308</v>
      </c>
      <c r="F3989" s="9">
        <v>96</v>
      </c>
      <c r="G3989" s="9">
        <v>1066</v>
      </c>
      <c r="H3989" s="5" t="s">
        <v>20</v>
      </c>
      <c r="I3989" s="5" t="s">
        <v>9500</v>
      </c>
      <c r="J3989" s="12" t="str">
        <f>HYPERLINK("https://www.boe.es/gazeta/dias/1804/11/30/pdfs/GMD-1804-96.pdf#page=6","Abrir facsímil")</f>
        <v>Abrir facsímil</v>
      </c>
      <c r="K3989" s="15" t="s">
        <v>22</v>
      </c>
    </row>
    <row r="3990" spans="1:11" ht="42" customHeight="1">
      <c r="A3990" s="4" t="s">
        <v>9501</v>
      </c>
      <c r="B3990" s="5" t="s">
        <v>9502</v>
      </c>
      <c r="C3990" s="5" t="s">
        <v>198</v>
      </c>
      <c r="D3990" s="5" t="s">
        <v>66</v>
      </c>
      <c r="E3990" s="5" t="s">
        <v>699</v>
      </c>
      <c r="F3990" s="9">
        <v>2</v>
      </c>
      <c r="G3990" s="9">
        <v>19</v>
      </c>
      <c r="H3990" s="5" t="s">
        <v>20</v>
      </c>
      <c r="I3990" s="5" t="s">
        <v>9503</v>
      </c>
      <c r="J3990" s="12" t="str">
        <f>HYPERLINK("https://www.boe.es/gazeta/dias/1804/01/06/pdfs/GMD-1804-2.pdf#page=7","Abrir facsímil")</f>
        <v>Abrir facsímil</v>
      </c>
      <c r="K3990" s="15" t="s">
        <v>22</v>
      </c>
    </row>
    <row r="3991" spans="1:11" ht="42" customHeight="1">
      <c r="A3991" s="4" t="s">
        <v>9504</v>
      </c>
      <c r="B3991" s="5" t="s">
        <v>9505</v>
      </c>
      <c r="C3991" s="5" t="s">
        <v>27</v>
      </c>
      <c r="D3991" s="5" t="s">
        <v>28</v>
      </c>
      <c r="E3991" s="5" t="s">
        <v>350</v>
      </c>
      <c r="F3991" s="9">
        <v>19</v>
      </c>
      <c r="G3991" s="9">
        <v>209</v>
      </c>
      <c r="H3991" s="5" t="s">
        <v>20</v>
      </c>
      <c r="I3991" s="5" t="s">
        <v>9506</v>
      </c>
      <c r="J3991" s="12" t="str">
        <f>HYPERLINK("https://www.boe.es/gazeta/dias/1804/03/06/pdfs/GMD-1804-19.pdf#page=9","Abrir facsímil")</f>
        <v>Abrir facsímil</v>
      </c>
      <c r="K3991" s="15" t="s">
        <v>22</v>
      </c>
    </row>
    <row r="3992" spans="1:11" ht="42" customHeight="1">
      <c r="A3992" s="4" t="s">
        <v>9507</v>
      </c>
      <c r="B3992" s="5" t="s">
        <v>9508</v>
      </c>
      <c r="C3992" s="5" t="s">
        <v>17</v>
      </c>
      <c r="D3992" s="5" t="s">
        <v>18</v>
      </c>
      <c r="E3992" s="5" t="s">
        <v>87</v>
      </c>
      <c r="F3992" s="9">
        <v>9</v>
      </c>
      <c r="G3992" s="9">
        <v>98</v>
      </c>
      <c r="H3992" s="5" t="s">
        <v>20</v>
      </c>
      <c r="I3992" s="5" t="s">
        <v>9509</v>
      </c>
      <c r="J3992" s="12" t="str">
        <f>HYPERLINK("https://www.boe.es/gazeta/dias/1804/01/31/pdfs/GMD-1804-9.pdf#page=10","Abrir facsímil")</f>
        <v>Abrir facsímil</v>
      </c>
      <c r="K3992" s="15" t="s">
        <v>22</v>
      </c>
    </row>
    <row r="3993" spans="1:11" ht="42" customHeight="1">
      <c r="A3993" s="4" t="s">
        <v>9510</v>
      </c>
      <c r="B3993" s="5" t="s">
        <v>9511</v>
      </c>
      <c r="C3993" s="5" t="s">
        <v>27</v>
      </c>
      <c r="D3993" s="5" t="s">
        <v>28</v>
      </c>
      <c r="E3993" s="5" t="s">
        <v>103</v>
      </c>
      <c r="F3993" s="9">
        <v>11</v>
      </c>
      <c r="G3993" s="9">
        <v>122</v>
      </c>
      <c r="H3993" s="5" t="s">
        <v>20</v>
      </c>
      <c r="I3993" s="5" t="s">
        <v>9512</v>
      </c>
      <c r="J3993" s="12" t="str">
        <f>HYPERLINK("https://www.boe.es/gazeta/dias/1804/02/07/pdfs/GMD-1804-11.pdf#page=10","Abrir facsímil")</f>
        <v>Abrir facsímil</v>
      </c>
      <c r="K3993" s="15" t="s">
        <v>22</v>
      </c>
    </row>
    <row r="3994" spans="1:11" ht="42" customHeight="1">
      <c r="A3994" s="4" t="s">
        <v>9513</v>
      </c>
      <c r="B3994" s="5" t="s">
        <v>9514</v>
      </c>
      <c r="C3994" s="5" t="s">
        <v>57</v>
      </c>
      <c r="D3994" s="5" t="s">
        <v>58</v>
      </c>
      <c r="E3994" s="5" t="s">
        <v>1095</v>
      </c>
      <c r="F3994" s="9">
        <v>73</v>
      </c>
      <c r="G3994" s="9">
        <v>813</v>
      </c>
      <c r="H3994" s="5" t="s">
        <v>20</v>
      </c>
      <c r="I3994" s="5" t="s">
        <v>9515</v>
      </c>
      <c r="J3994" s="12" t="str">
        <f>HYPERLINK("https://www.boe.es/gazeta/dias/1804/09/11/pdfs/GMD-1804-73.pdf#page=3","Abrir facsímil")</f>
        <v>Abrir facsímil</v>
      </c>
      <c r="K3994" s="15" t="s">
        <v>22</v>
      </c>
    </row>
    <row r="3995" spans="1:11" ht="42" customHeight="1">
      <c r="A3995" s="4" t="s">
        <v>9516</v>
      </c>
      <c r="B3995" s="5" t="s">
        <v>9517</v>
      </c>
      <c r="C3995" s="5" t="s">
        <v>17</v>
      </c>
      <c r="D3995" s="5" t="s">
        <v>18</v>
      </c>
      <c r="E3995" s="5" t="s">
        <v>81</v>
      </c>
      <c r="F3995" s="9">
        <v>98</v>
      </c>
      <c r="G3995" s="9">
        <v>1089</v>
      </c>
      <c r="H3995" s="5" t="s">
        <v>20</v>
      </c>
      <c r="I3995" s="5" t="s">
        <v>9518</v>
      </c>
      <c r="J3995" s="12" t="str">
        <f>HYPERLINK("https://www.boe.es/gazeta/dias/1804/12/07/pdfs/GMD-1804-98.pdf#page=5","Abrir facsímil")</f>
        <v>Abrir facsímil</v>
      </c>
      <c r="K3995" s="15" t="s">
        <v>22</v>
      </c>
    </row>
    <row r="3996" spans="1:11" ht="42" customHeight="1">
      <c r="A3996" s="4" t="s">
        <v>9519</v>
      </c>
      <c r="B3996" s="5" t="s">
        <v>9519</v>
      </c>
      <c r="C3996" s="5" t="s">
        <v>198</v>
      </c>
      <c r="D3996" s="5" t="s">
        <v>66</v>
      </c>
      <c r="E3996" s="5" t="s">
        <v>538</v>
      </c>
      <c r="F3996" s="9">
        <v>27</v>
      </c>
      <c r="G3996" s="9">
        <v>298</v>
      </c>
      <c r="H3996" s="5" t="s">
        <v>20</v>
      </c>
      <c r="I3996" s="5" t="s">
        <v>9520</v>
      </c>
      <c r="J3996" s="12" t="str">
        <f>HYPERLINK("https://www.boe.es/gazeta/dias/1804/04/03/pdfs/GMD-1804-27.pdf#page=4","Abrir facsímil")</f>
        <v>Abrir facsímil</v>
      </c>
      <c r="K3996" s="15" t="s">
        <v>22</v>
      </c>
    </row>
    <row r="3997" spans="1:11" ht="42" customHeight="1">
      <c r="A3997" s="4" t="s">
        <v>9521</v>
      </c>
      <c r="B3997" s="5" t="s">
        <v>9521</v>
      </c>
      <c r="C3997" s="5" t="s">
        <v>85</v>
      </c>
      <c r="D3997" s="5" t="s">
        <v>86</v>
      </c>
      <c r="E3997" s="5" t="s">
        <v>542</v>
      </c>
      <c r="F3997" s="9">
        <v>54</v>
      </c>
      <c r="G3997" s="9">
        <v>596</v>
      </c>
      <c r="H3997" s="5" t="s">
        <v>20</v>
      </c>
      <c r="I3997" s="5" t="s">
        <v>9522</v>
      </c>
      <c r="J3997" s="12" t="str">
        <f>HYPERLINK("https://www.boe.es/gazeta/dias/1804/07/06/pdfs/GMD-1804-54.pdf#page=2","Abrir facsímil")</f>
        <v>Abrir facsímil</v>
      </c>
      <c r="K3997" s="15" t="s">
        <v>22</v>
      </c>
    </row>
    <row r="3998" spans="1:11" ht="42" customHeight="1">
      <c r="A3998" s="4" t="s">
        <v>9523</v>
      </c>
      <c r="B3998" s="5" t="s">
        <v>9524</v>
      </c>
      <c r="C3998" s="5" t="s">
        <v>17</v>
      </c>
      <c r="D3998" s="5" t="s">
        <v>18</v>
      </c>
      <c r="E3998" s="5" t="s">
        <v>91</v>
      </c>
      <c r="F3998" s="9">
        <v>72</v>
      </c>
      <c r="G3998" s="9">
        <v>805</v>
      </c>
      <c r="H3998" s="5" t="s">
        <v>20</v>
      </c>
      <c r="I3998" s="5" t="s">
        <v>9525</v>
      </c>
      <c r="J3998" s="12" t="str">
        <f>HYPERLINK("https://www.boe.es/gazeta/dias/1804/09/07/pdfs/GMD-1804-72.pdf#page=7","Abrir facsímil")</f>
        <v>Abrir facsímil</v>
      </c>
      <c r="K3998" s="15" t="s">
        <v>22</v>
      </c>
    </row>
    <row r="3999" spans="1:11" ht="42" customHeight="1">
      <c r="A3999" s="4" t="s">
        <v>9526</v>
      </c>
      <c r="B3999" s="5" t="s">
        <v>9527</v>
      </c>
      <c r="C3999" s="5" t="s">
        <v>57</v>
      </c>
      <c r="D3999" s="5" t="s">
        <v>58</v>
      </c>
      <c r="E3999" s="5" t="s">
        <v>75</v>
      </c>
      <c r="F3999" s="9">
        <v>16</v>
      </c>
      <c r="G3999" s="9">
        <v>169</v>
      </c>
      <c r="H3999" s="5" t="s">
        <v>20</v>
      </c>
      <c r="I3999" s="5" t="s">
        <v>9528</v>
      </c>
      <c r="J3999" s="12" t="str">
        <f>HYPERLINK("https://www.boe.es/gazeta/dias/1804/02/24/pdfs/GMD-1804-16.pdf#page=5","Abrir facsímil")</f>
        <v>Abrir facsímil</v>
      </c>
      <c r="K3999" s="15" t="s">
        <v>22</v>
      </c>
    </row>
    <row r="4000" spans="1:11" ht="42" customHeight="1">
      <c r="A4000" s="4" t="s">
        <v>9529</v>
      </c>
      <c r="B4000" s="5" t="s">
        <v>9530</v>
      </c>
      <c r="C4000" s="5" t="s">
        <v>27</v>
      </c>
      <c r="D4000" s="5" t="s">
        <v>28</v>
      </c>
      <c r="E4000" s="5" t="s">
        <v>782</v>
      </c>
      <c r="F4000" s="9">
        <v>75</v>
      </c>
      <c r="G4000" s="9">
        <v>840</v>
      </c>
      <c r="H4000" s="5" t="s">
        <v>20</v>
      </c>
      <c r="I4000" s="5" t="s">
        <v>9531</v>
      </c>
      <c r="J4000" s="12" t="str">
        <f>HYPERLINK("https://www.boe.es/gazeta/dias/1804/09/18/pdfs/GMD-1804-75.pdf#page=6","Abrir facsímil")</f>
        <v>Abrir facsímil</v>
      </c>
      <c r="K4000" s="15" t="s">
        <v>22</v>
      </c>
    </row>
    <row r="4001" spans="1:11" ht="42" customHeight="1">
      <c r="A4001" s="4" t="s">
        <v>9532</v>
      </c>
      <c r="B4001" s="5" t="s">
        <v>9533</v>
      </c>
      <c r="C4001" s="5" t="s">
        <v>27</v>
      </c>
      <c r="D4001" s="5" t="s">
        <v>28</v>
      </c>
      <c r="E4001" s="5" t="s">
        <v>453</v>
      </c>
      <c r="F4001" s="9">
        <v>33</v>
      </c>
      <c r="G4001" s="9">
        <v>365</v>
      </c>
      <c r="H4001" s="5" t="s">
        <v>20</v>
      </c>
      <c r="I4001" s="5" t="s">
        <v>9534</v>
      </c>
      <c r="J4001" s="12" t="str">
        <f>HYPERLINK("https://www.boe.es/gazeta/dias/1804/04/24/pdfs/GMD-1804-33.pdf#page=7","Abrir facsímil")</f>
        <v>Abrir facsímil</v>
      </c>
      <c r="K4001" s="15" t="s">
        <v>22</v>
      </c>
    </row>
    <row r="4002" spans="1:11" ht="42" customHeight="1">
      <c r="A4002" s="4" t="s">
        <v>9535</v>
      </c>
      <c r="B4002" s="5" t="s">
        <v>9536</v>
      </c>
      <c r="C4002" s="5" t="s">
        <v>17</v>
      </c>
      <c r="D4002" s="5" t="s">
        <v>18</v>
      </c>
      <c r="E4002" s="5" t="s">
        <v>37</v>
      </c>
      <c r="F4002" s="9">
        <v>29</v>
      </c>
      <c r="G4002" s="9">
        <v>318</v>
      </c>
      <c r="H4002" s="5" t="s">
        <v>20</v>
      </c>
      <c r="I4002" s="5" t="s">
        <v>9537</v>
      </c>
      <c r="J4002" s="12" t="str">
        <f>HYPERLINK("https://www.boe.es/gazeta/dias/1804/04/10/pdfs/GMD-1804-29.pdf#page=8","Abrir facsímil")</f>
        <v>Abrir facsímil</v>
      </c>
      <c r="K4002" s="15" t="s">
        <v>22</v>
      </c>
    </row>
    <row r="4003" spans="1:11" ht="42" customHeight="1">
      <c r="A4003" s="4" t="s">
        <v>9538</v>
      </c>
      <c r="B4003" s="5" t="s">
        <v>9539</v>
      </c>
      <c r="C4003" s="5" t="s">
        <v>65</v>
      </c>
      <c r="D4003" s="5" t="s">
        <v>66</v>
      </c>
      <c r="E4003" s="5" t="s">
        <v>709</v>
      </c>
      <c r="F4003" s="9">
        <v>82</v>
      </c>
      <c r="G4003" s="9">
        <v>906</v>
      </c>
      <c r="H4003" s="5" t="s">
        <v>20</v>
      </c>
      <c r="I4003" s="5" t="s">
        <v>9540</v>
      </c>
      <c r="J4003" s="12" t="str">
        <f>HYPERLINK("https://www.boe.es/gazeta/dias/1804/10/12/pdfs/GMD-1804-82.pdf#page=8","Abrir facsímil")</f>
        <v>Abrir facsímil</v>
      </c>
      <c r="K4003" s="15" t="s">
        <v>22</v>
      </c>
    </row>
    <row r="4004" spans="1:11" ht="42" customHeight="1">
      <c r="A4004" s="4" t="s">
        <v>9541</v>
      </c>
      <c r="B4004" s="5" t="s">
        <v>9542</v>
      </c>
      <c r="C4004" s="5" t="s">
        <v>120</v>
      </c>
      <c r="D4004" s="5" t="s">
        <v>121</v>
      </c>
      <c r="E4004" s="5" t="s">
        <v>33</v>
      </c>
      <c r="F4004" s="9">
        <v>48</v>
      </c>
      <c r="G4004" s="9" t="s">
        <v>819</v>
      </c>
      <c r="H4004" s="5" t="s">
        <v>20</v>
      </c>
      <c r="I4004" s="5" t="s">
        <v>9543</v>
      </c>
      <c r="J4004" s="12" t="str">
        <f>HYPERLINK("https://www.boe.es/gazeta/dias/1804/06/15/pdfs/GMD-C-1804-48.pdf#page=4","Abrir facsímil")</f>
        <v>Abrir facsímil</v>
      </c>
      <c r="K4004" s="15" t="s">
        <v>22</v>
      </c>
    </row>
    <row r="4005" spans="1:11" ht="42" customHeight="1">
      <c r="A4005" s="4" t="s">
        <v>9544</v>
      </c>
      <c r="B4005" s="5" t="s">
        <v>9545</v>
      </c>
      <c r="C4005" s="5" t="s">
        <v>27</v>
      </c>
      <c r="D4005" s="5" t="s">
        <v>28</v>
      </c>
      <c r="E4005" s="5" t="s">
        <v>67</v>
      </c>
      <c r="F4005" s="9">
        <v>59</v>
      </c>
      <c r="G4005" s="9">
        <v>653</v>
      </c>
      <c r="H4005" s="5" t="s">
        <v>20</v>
      </c>
      <c r="I4005" s="5" t="s">
        <v>9546</v>
      </c>
      <c r="J4005" s="12" t="str">
        <f>HYPERLINK("https://www.boe.es/gazeta/dias/1804/07/24/pdfs/GMD-1804-59.pdf#page=7","Abrir facsímil")</f>
        <v>Abrir facsímil</v>
      </c>
      <c r="K4005" s="15" t="s">
        <v>22</v>
      </c>
    </row>
    <row r="4006" spans="1:11" ht="42" customHeight="1">
      <c r="A4006" s="4" t="s">
        <v>9544</v>
      </c>
      <c r="B4006" s="5" t="s">
        <v>9545</v>
      </c>
      <c r="C4006" s="5" t="s">
        <v>65</v>
      </c>
      <c r="D4006" s="5" t="s">
        <v>66</v>
      </c>
      <c r="E4006" s="5" t="s">
        <v>526</v>
      </c>
      <c r="F4006" s="9">
        <v>95</v>
      </c>
      <c r="G4006" s="9">
        <v>1057</v>
      </c>
      <c r="H4006" s="5" t="s">
        <v>20</v>
      </c>
      <c r="I4006" s="5" t="s">
        <v>9547</v>
      </c>
      <c r="J4006" s="12" t="str">
        <f>HYPERLINK("https://www.boe.es/gazeta/dias/1804/11/27/pdfs/GMD-1804-95.pdf#page=9","Abrir facsímil")</f>
        <v>Abrir facsímil</v>
      </c>
      <c r="K4006" s="15" t="s">
        <v>22</v>
      </c>
    </row>
    <row r="4007" spans="1:11" ht="42" customHeight="1">
      <c r="A4007" s="4" t="s">
        <v>9548</v>
      </c>
      <c r="B4007" s="5" t="s">
        <v>9549</v>
      </c>
      <c r="C4007" s="5" t="s">
        <v>17</v>
      </c>
      <c r="D4007" s="5" t="s">
        <v>18</v>
      </c>
      <c r="E4007" s="5" t="s">
        <v>106</v>
      </c>
      <c r="F4007" s="9">
        <v>34</v>
      </c>
      <c r="G4007" s="9">
        <v>376</v>
      </c>
      <c r="H4007" s="5" t="s">
        <v>20</v>
      </c>
      <c r="I4007" s="5" t="s">
        <v>9550</v>
      </c>
      <c r="J4007" s="12" t="str">
        <f>HYPERLINK("https://www.boe.es/gazeta/dias/1804/04/27/pdfs/GMD-1804-34.pdf#page=6","Abrir facsímil")</f>
        <v>Abrir facsímil</v>
      </c>
      <c r="K4007" s="15" t="s">
        <v>22</v>
      </c>
    </row>
    <row r="4008" spans="1:11" ht="42" customHeight="1">
      <c r="A4008" s="4" t="s">
        <v>9551</v>
      </c>
      <c r="B4008" s="5" t="s">
        <v>9552</v>
      </c>
      <c r="C4008" s="5" t="s">
        <v>27</v>
      </c>
      <c r="D4008" s="5" t="s">
        <v>28</v>
      </c>
      <c r="E4008" s="5" t="s">
        <v>178</v>
      </c>
      <c r="F4008" s="9">
        <v>20</v>
      </c>
      <c r="G4008" s="9">
        <v>217</v>
      </c>
      <c r="H4008" s="5" t="s">
        <v>20</v>
      </c>
      <c r="I4008" s="5" t="s">
        <v>9553</v>
      </c>
      <c r="J4008" s="12" t="str">
        <f>HYPERLINK("https://www.boe.es/gazeta/dias/1804/03/09/pdfs/GMD-1804-20.pdf#page=5","Abrir facsímil")</f>
        <v>Abrir facsímil</v>
      </c>
      <c r="K4008" s="15" t="s">
        <v>22</v>
      </c>
    </row>
    <row r="4009" spans="1:11" ht="42" customHeight="1">
      <c r="A4009" s="4" t="s">
        <v>9551</v>
      </c>
      <c r="B4009" s="5" t="s">
        <v>9552</v>
      </c>
      <c r="C4009" s="5" t="s">
        <v>57</v>
      </c>
      <c r="D4009" s="5" t="s">
        <v>58</v>
      </c>
      <c r="E4009" s="5" t="s">
        <v>704</v>
      </c>
      <c r="F4009" s="9">
        <v>36</v>
      </c>
      <c r="G4009" s="9">
        <v>398</v>
      </c>
      <c r="H4009" s="5" t="s">
        <v>20</v>
      </c>
      <c r="I4009" s="5" t="s">
        <v>9554</v>
      </c>
      <c r="J4009" s="12" t="str">
        <f>HYPERLINK("https://www.boe.es/gazeta/dias/1804/05/04/pdfs/GMD-1804-36.pdf#page=8","Abrir facsímil")</f>
        <v>Abrir facsímil</v>
      </c>
      <c r="K4009" s="15" t="s">
        <v>22</v>
      </c>
    </row>
    <row r="4010" spans="1:11" ht="42" customHeight="1">
      <c r="A4010" s="4" t="s">
        <v>9551</v>
      </c>
      <c r="B4010" s="5" t="s">
        <v>9552</v>
      </c>
      <c r="C4010" s="5" t="s">
        <v>57</v>
      </c>
      <c r="D4010" s="5" t="s">
        <v>58</v>
      </c>
      <c r="E4010" s="5" t="s">
        <v>206</v>
      </c>
      <c r="F4010" s="9">
        <v>44</v>
      </c>
      <c r="G4010" s="9">
        <v>488</v>
      </c>
      <c r="H4010" s="5" t="s">
        <v>20</v>
      </c>
      <c r="I4010" s="5" t="s">
        <v>9555</v>
      </c>
      <c r="J4010" s="12" t="str">
        <f>HYPERLINK("https://www.boe.es/gazeta/dias/1804/06/01/pdfs/GMD-1804-44.pdf#page=6","Abrir facsímil")</f>
        <v>Abrir facsímil</v>
      </c>
      <c r="K4010" s="15" t="s">
        <v>22</v>
      </c>
    </row>
    <row r="4011" spans="1:11" ht="42" customHeight="1">
      <c r="A4011" s="4" t="s">
        <v>9556</v>
      </c>
      <c r="B4011" s="5" t="s">
        <v>9557</v>
      </c>
      <c r="C4011" s="5" t="s">
        <v>27</v>
      </c>
      <c r="D4011" s="5" t="s">
        <v>28</v>
      </c>
      <c r="E4011" s="5" t="s">
        <v>191</v>
      </c>
      <c r="F4011" s="9">
        <v>101</v>
      </c>
      <c r="G4011" s="9">
        <v>1127</v>
      </c>
      <c r="H4011" s="5" t="s">
        <v>20</v>
      </c>
      <c r="I4011" s="5" t="s">
        <v>9558</v>
      </c>
      <c r="J4011" s="12" t="str">
        <f>HYPERLINK("https://www.boe.es/gazeta/dias/1804/12/18/pdfs/GMD-1804-101.pdf#page=7","Abrir facsímil")</f>
        <v>Abrir facsímil</v>
      </c>
      <c r="K4011" s="15" t="s">
        <v>22</v>
      </c>
    </row>
    <row r="4012" spans="1:11" ht="42" customHeight="1">
      <c r="A4012" s="4" t="s">
        <v>9559</v>
      </c>
      <c r="B4012" s="5" t="s">
        <v>9559</v>
      </c>
      <c r="C4012" s="5" t="s">
        <v>57</v>
      </c>
      <c r="D4012" s="5" t="s">
        <v>58</v>
      </c>
      <c r="E4012" s="5" t="s">
        <v>479</v>
      </c>
      <c r="F4012" s="9">
        <v>5</v>
      </c>
      <c r="G4012" s="9">
        <v>42</v>
      </c>
      <c r="H4012" s="5" t="s">
        <v>20</v>
      </c>
      <c r="I4012" s="5" t="s">
        <v>9560</v>
      </c>
      <c r="J4012" s="12" t="str">
        <f>HYPERLINK("https://www.boe.es/gazeta/dias/1804/01/17/pdfs/GMD-1804-5.pdf#page=2","Abrir facsímil")</f>
        <v>Abrir facsímil</v>
      </c>
      <c r="K4012" s="15" t="s">
        <v>22</v>
      </c>
    </row>
    <row r="4013" spans="1:11" ht="42" customHeight="1">
      <c r="A4013" s="4" t="s">
        <v>9561</v>
      </c>
      <c r="B4013" s="5" t="s">
        <v>9562</v>
      </c>
      <c r="C4013" s="5" t="s">
        <v>27</v>
      </c>
      <c r="D4013" s="5" t="s">
        <v>28</v>
      </c>
      <c r="E4013" s="5" t="s">
        <v>212</v>
      </c>
      <c r="F4013" s="9">
        <v>89</v>
      </c>
      <c r="G4013" s="9">
        <v>987</v>
      </c>
      <c r="H4013" s="5" t="s">
        <v>20</v>
      </c>
      <c r="I4013" s="5" t="s">
        <v>9563</v>
      </c>
      <c r="J4013" s="12" t="str">
        <f>HYPERLINK("https://www.boe.es/gazeta/dias/1804/11/06/pdfs/GMD-1804-89.pdf#page=7","Abrir facsímil")</f>
        <v>Abrir facsímil</v>
      </c>
      <c r="K4013" s="15" t="s">
        <v>22</v>
      </c>
    </row>
    <row r="4014" spans="1:11" ht="42" customHeight="1">
      <c r="A4014" s="4" t="s">
        <v>9561</v>
      </c>
      <c r="B4014" s="5" t="s">
        <v>9562</v>
      </c>
      <c r="C4014" s="5" t="s">
        <v>57</v>
      </c>
      <c r="D4014" s="5" t="s">
        <v>58</v>
      </c>
      <c r="E4014" s="5" t="s">
        <v>191</v>
      </c>
      <c r="F4014" s="9">
        <v>101</v>
      </c>
      <c r="G4014" s="9">
        <v>1124</v>
      </c>
      <c r="H4014" s="5" t="s">
        <v>20</v>
      </c>
      <c r="I4014" s="5" t="s">
        <v>9564</v>
      </c>
      <c r="J4014" s="12" t="str">
        <f>HYPERLINK("https://www.boe.es/gazeta/dias/1804/12/18/pdfs/GMD-1804-101.pdf#page=4","Abrir facsímil")</f>
        <v>Abrir facsímil</v>
      </c>
      <c r="K4014" s="15" t="s">
        <v>22</v>
      </c>
    </row>
    <row r="4015" spans="1:11" ht="42" customHeight="1">
      <c r="A4015" s="4" t="s">
        <v>9565</v>
      </c>
      <c r="B4015" s="5" t="s">
        <v>9566</v>
      </c>
      <c r="C4015" s="5" t="s">
        <v>57</v>
      </c>
      <c r="D4015" s="5" t="s">
        <v>58</v>
      </c>
      <c r="E4015" s="5" t="s">
        <v>484</v>
      </c>
      <c r="F4015" s="9">
        <v>53</v>
      </c>
      <c r="G4015" s="9">
        <v>584</v>
      </c>
      <c r="H4015" s="5" t="s">
        <v>20</v>
      </c>
      <c r="I4015" s="5" t="s">
        <v>9567</v>
      </c>
      <c r="J4015" s="12" t="str">
        <f>HYPERLINK("https://www.boe.es/gazeta/dias/1804/07/03/pdfs/GMD-1804-53.pdf#page=2","Abrir facsímil")</f>
        <v>Abrir facsímil</v>
      </c>
      <c r="K4015" s="15" t="s">
        <v>22</v>
      </c>
    </row>
    <row r="4016" spans="1:11" ht="42" customHeight="1">
      <c r="A4016" s="4" t="s">
        <v>9568</v>
      </c>
      <c r="B4016" s="5" t="s">
        <v>9569</v>
      </c>
      <c r="C4016" s="5" t="s">
        <v>57</v>
      </c>
      <c r="D4016" s="5" t="s">
        <v>58</v>
      </c>
      <c r="E4016" s="5" t="s">
        <v>155</v>
      </c>
      <c r="F4016" s="9">
        <v>92</v>
      </c>
      <c r="G4016" s="9">
        <v>1016</v>
      </c>
      <c r="H4016" s="5" t="s">
        <v>20</v>
      </c>
      <c r="I4016" s="5" t="s">
        <v>9570</v>
      </c>
      <c r="J4016" s="12" t="str">
        <f>HYPERLINK("https://www.boe.es/gazeta/dias/1804/11/16/pdfs/GMD-1804-92.pdf#page=4","Abrir facsímil")</f>
        <v>Abrir facsímil</v>
      </c>
      <c r="K4016" s="15" t="s">
        <v>22</v>
      </c>
    </row>
    <row r="4017" spans="1:11" ht="42" customHeight="1">
      <c r="A4017" s="4" t="s">
        <v>9571</v>
      </c>
      <c r="B4017" s="5" t="s">
        <v>9572</v>
      </c>
      <c r="C4017" s="5" t="s">
        <v>27</v>
      </c>
      <c r="D4017" s="5" t="s">
        <v>28</v>
      </c>
      <c r="E4017" s="5" t="s">
        <v>857</v>
      </c>
      <c r="F4017" s="9">
        <v>28</v>
      </c>
      <c r="G4017" s="9">
        <v>308</v>
      </c>
      <c r="H4017" s="5" t="s">
        <v>20</v>
      </c>
      <c r="I4017" s="5" t="s">
        <v>9573</v>
      </c>
      <c r="J4017" s="12" t="str">
        <f>HYPERLINK("https://www.boe.es/gazeta/dias/1804/04/06/pdfs/GMD-1804-28.pdf#page=6","Abrir facsímil")</f>
        <v>Abrir facsímil</v>
      </c>
      <c r="K4017" s="15" t="s">
        <v>22</v>
      </c>
    </row>
    <row r="4018" spans="1:11" ht="42" customHeight="1">
      <c r="A4018" s="4" t="s">
        <v>9574</v>
      </c>
      <c r="B4018" s="5" t="s">
        <v>9574</v>
      </c>
      <c r="C4018" s="5" t="s">
        <v>65</v>
      </c>
      <c r="D4018" s="5" t="s">
        <v>66</v>
      </c>
      <c r="E4018" s="5" t="s">
        <v>709</v>
      </c>
      <c r="F4018" s="9">
        <v>82</v>
      </c>
      <c r="G4018" s="9">
        <v>906</v>
      </c>
      <c r="H4018" s="5" t="s">
        <v>20</v>
      </c>
      <c r="I4018" s="5" t="s">
        <v>9575</v>
      </c>
      <c r="J4018" s="12" t="str">
        <f>HYPERLINK("https://www.boe.es/gazeta/dias/1804/10/12/pdfs/GMD-1804-82.pdf#page=8","Abrir facsímil")</f>
        <v>Abrir facsímil</v>
      </c>
      <c r="K4018" s="15" t="s">
        <v>22</v>
      </c>
    </row>
    <row r="4019" spans="1:11" ht="42" customHeight="1">
      <c r="A4019" s="4" t="s">
        <v>9576</v>
      </c>
      <c r="B4019" s="5" t="s">
        <v>9576</v>
      </c>
      <c r="C4019" s="5" t="s">
        <v>27</v>
      </c>
      <c r="D4019" s="5" t="s">
        <v>28</v>
      </c>
      <c r="E4019" s="5" t="s">
        <v>378</v>
      </c>
      <c r="F4019" s="9">
        <v>65</v>
      </c>
      <c r="G4019" s="9">
        <v>731</v>
      </c>
      <c r="H4019" s="5" t="s">
        <v>20</v>
      </c>
      <c r="I4019" s="5" t="s">
        <v>9577</v>
      </c>
      <c r="J4019" s="12" t="str">
        <f>HYPERLINK("https://www.boe.es/gazeta/dias/1804/08/14/pdfs/GMD-1804-65.pdf#page=9","Abrir facsímil")</f>
        <v>Abrir facsímil</v>
      </c>
      <c r="K4019" s="15" t="s">
        <v>22</v>
      </c>
    </row>
    <row r="4020" spans="1:11" ht="42" customHeight="1">
      <c r="A4020" s="4" t="s">
        <v>9578</v>
      </c>
      <c r="B4020" s="5" t="s">
        <v>9578</v>
      </c>
      <c r="C4020" s="5" t="s">
        <v>27</v>
      </c>
      <c r="D4020" s="5" t="s">
        <v>28</v>
      </c>
      <c r="E4020" s="5" t="s">
        <v>199</v>
      </c>
      <c r="F4020" s="9">
        <v>46</v>
      </c>
      <c r="G4020" s="9">
        <v>512</v>
      </c>
      <c r="H4020" s="5" t="s">
        <v>20</v>
      </c>
      <c r="I4020" s="5" t="s">
        <v>9579</v>
      </c>
      <c r="J4020" s="12" t="str">
        <f>HYPERLINK("https://www.boe.es/gazeta/dias/1804/06/08/pdfs/GMD-1804-46.pdf#page=10","Abrir facsímil")</f>
        <v>Abrir facsímil</v>
      </c>
      <c r="K4020" s="15" t="s">
        <v>22</v>
      </c>
    </row>
    <row r="4021" spans="1:11" ht="42" customHeight="1">
      <c r="A4021" s="4" t="s">
        <v>9580</v>
      </c>
      <c r="B4021" s="5" t="s">
        <v>9581</v>
      </c>
      <c r="C4021" s="5" t="s">
        <v>65</v>
      </c>
      <c r="D4021" s="5" t="s">
        <v>66</v>
      </c>
      <c r="E4021" s="5" t="s">
        <v>140</v>
      </c>
      <c r="F4021" s="9">
        <v>39</v>
      </c>
      <c r="G4021" s="9">
        <v>435</v>
      </c>
      <c r="H4021" s="5" t="s">
        <v>20</v>
      </c>
      <c r="I4021" s="5" t="s">
        <v>9582</v>
      </c>
      <c r="J4021" s="12" t="str">
        <f>HYPERLINK("https://www.boe.es/gazeta/dias/1804/05/15/pdfs/GMD-1804-39.pdf#page=9","Abrir facsímil")</f>
        <v>Abrir facsímil</v>
      </c>
      <c r="K4021" s="15" t="s">
        <v>22</v>
      </c>
    </row>
    <row r="4022" spans="1:11" ht="42" customHeight="1">
      <c r="A4022" s="4" t="s">
        <v>9583</v>
      </c>
      <c r="B4022" s="5" t="s">
        <v>9584</v>
      </c>
      <c r="C4022" s="5" t="s">
        <v>17</v>
      </c>
      <c r="D4022" s="5" t="s">
        <v>18</v>
      </c>
      <c r="E4022" s="5" t="s">
        <v>216</v>
      </c>
      <c r="F4022" s="9">
        <v>67</v>
      </c>
      <c r="G4022" s="9">
        <v>754</v>
      </c>
      <c r="H4022" s="5" t="s">
        <v>20</v>
      </c>
      <c r="I4022" s="5" t="s">
        <v>9585</v>
      </c>
      <c r="J4022" s="12" t="str">
        <f>HYPERLINK("https://www.boe.es/gazeta/dias/1804/08/21/pdfs/GMD-1804-67.pdf#page=12","Abrir facsímil")</f>
        <v>Abrir facsímil</v>
      </c>
      <c r="K4022" s="15" t="s">
        <v>22</v>
      </c>
    </row>
    <row r="4023" spans="1:11" ht="42" customHeight="1">
      <c r="A4023" s="4" t="s">
        <v>9586</v>
      </c>
      <c r="B4023" s="5" t="s">
        <v>9587</v>
      </c>
      <c r="C4023" s="5" t="s">
        <v>27</v>
      </c>
      <c r="D4023" s="5" t="s">
        <v>28</v>
      </c>
      <c r="E4023" s="5" t="s">
        <v>264</v>
      </c>
      <c r="F4023" s="9">
        <v>49</v>
      </c>
      <c r="G4023" s="9">
        <v>545</v>
      </c>
      <c r="H4023" s="5" t="s">
        <v>20</v>
      </c>
      <c r="I4023" s="5" t="s">
        <v>9588</v>
      </c>
      <c r="J4023" s="12" t="str">
        <f>HYPERLINK("https://www.boe.es/gazeta/dias/1804/06/19/pdfs/GMD-1804-49.pdf#page=7","Abrir facsímil")</f>
        <v>Abrir facsímil</v>
      </c>
      <c r="K4023" s="15" t="s">
        <v>22</v>
      </c>
    </row>
    <row r="4024" spans="1:11" ht="42" customHeight="1">
      <c r="A4024" s="4" t="s">
        <v>9589</v>
      </c>
      <c r="B4024" s="5" t="s">
        <v>9590</v>
      </c>
      <c r="C4024" s="5" t="s">
        <v>27</v>
      </c>
      <c r="D4024" s="5" t="s">
        <v>28</v>
      </c>
      <c r="E4024" s="5" t="s">
        <v>29</v>
      </c>
      <c r="F4024" s="9">
        <v>88</v>
      </c>
      <c r="G4024" s="9">
        <v>976</v>
      </c>
      <c r="H4024" s="5" t="s">
        <v>20</v>
      </c>
      <c r="I4024" s="5" t="s">
        <v>9591</v>
      </c>
      <c r="J4024" s="12" t="str">
        <f>HYPERLINK("https://www.boe.es/gazeta/dias/1804/11/02/pdfs/GMD-1804-88.pdf#page=8","Abrir facsímil")</f>
        <v>Abrir facsímil</v>
      </c>
      <c r="K4024" s="15" t="s">
        <v>22</v>
      </c>
    </row>
    <row r="4025" spans="1:11" ht="42" customHeight="1">
      <c r="A4025" s="4" t="s">
        <v>9592</v>
      </c>
      <c r="B4025" s="5" t="s">
        <v>9593</v>
      </c>
      <c r="C4025" s="5" t="s">
        <v>27</v>
      </c>
      <c r="D4025" s="5" t="s">
        <v>28</v>
      </c>
      <c r="E4025" s="5" t="s">
        <v>466</v>
      </c>
      <c r="F4025" s="9">
        <v>76</v>
      </c>
      <c r="G4025" s="9">
        <v>847</v>
      </c>
      <c r="H4025" s="5" t="s">
        <v>20</v>
      </c>
      <c r="I4025" s="5" t="s">
        <v>9594</v>
      </c>
      <c r="J4025" s="12" t="str">
        <f>HYPERLINK("https://www.boe.es/gazeta/dias/1804/09/21/pdfs/GMD-1804-76.pdf#page=5","Abrir facsímil")</f>
        <v>Abrir facsímil</v>
      </c>
      <c r="K4025" s="15" t="s">
        <v>22</v>
      </c>
    </row>
    <row r="4026" spans="1:11" ht="42" customHeight="1">
      <c r="A4026" s="4" t="s">
        <v>9595</v>
      </c>
      <c r="B4026" s="5" t="s">
        <v>9596</v>
      </c>
      <c r="C4026" s="5" t="s">
        <v>27</v>
      </c>
      <c r="D4026" s="5" t="s">
        <v>28</v>
      </c>
      <c r="E4026" s="5" t="s">
        <v>320</v>
      </c>
      <c r="F4026" s="9">
        <v>31</v>
      </c>
      <c r="G4026" s="9">
        <v>343</v>
      </c>
      <c r="H4026" s="5" t="s">
        <v>20</v>
      </c>
      <c r="I4026" s="5" t="s">
        <v>9597</v>
      </c>
      <c r="J4026" s="12" t="str">
        <f>HYPERLINK("https://www.boe.es/gazeta/dias/1804/04/17/pdfs/GMD-1804-31.pdf#page=9","Abrir facsímil")</f>
        <v>Abrir facsímil</v>
      </c>
      <c r="K4026" s="15" t="s">
        <v>22</v>
      </c>
    </row>
    <row r="4027" spans="1:11" ht="42" customHeight="1">
      <c r="A4027" s="4" t="s">
        <v>9598</v>
      </c>
      <c r="B4027" s="5" t="s">
        <v>9599</v>
      </c>
      <c r="C4027" s="5" t="s">
        <v>27</v>
      </c>
      <c r="D4027" s="5" t="s">
        <v>28</v>
      </c>
      <c r="E4027" s="5" t="s">
        <v>143</v>
      </c>
      <c r="F4027" s="9">
        <v>87</v>
      </c>
      <c r="G4027" s="9">
        <v>963</v>
      </c>
      <c r="H4027" s="5" t="s">
        <v>20</v>
      </c>
      <c r="I4027" s="5" t="s">
        <v>9600</v>
      </c>
      <c r="J4027" s="12" t="str">
        <f>HYPERLINK("https://www.boe.es/gazeta/dias/1804/10/30/pdfs/GMD-1804-87.pdf#page=7","Abrir facsímil")</f>
        <v>Abrir facsímil</v>
      </c>
      <c r="K4027" s="15" t="s">
        <v>22</v>
      </c>
    </row>
    <row r="4028" spans="1:11" ht="42" customHeight="1">
      <c r="A4028" s="4" t="s">
        <v>9601</v>
      </c>
      <c r="B4028" s="5" t="s">
        <v>9602</v>
      </c>
      <c r="C4028" s="5" t="s">
        <v>65</v>
      </c>
      <c r="D4028" s="5" t="s">
        <v>66</v>
      </c>
      <c r="E4028" s="5" t="s">
        <v>298</v>
      </c>
      <c r="F4028" s="9">
        <v>10</v>
      </c>
      <c r="G4028" s="9">
        <v>111</v>
      </c>
      <c r="H4028" s="5" t="s">
        <v>20</v>
      </c>
      <c r="I4028" s="5" t="s">
        <v>9603</v>
      </c>
      <c r="J4028" s="12" t="str">
        <f>HYPERLINK("https://www.boe.es/gazeta/dias/1804/02/03/pdfs/GMD-1804-10.pdf#page=11","Abrir facsímil")</f>
        <v>Abrir facsímil</v>
      </c>
      <c r="K4028" s="15" t="s">
        <v>22</v>
      </c>
    </row>
    <row r="4029" spans="1:11" ht="42" customHeight="1">
      <c r="A4029" s="4" t="s">
        <v>9601</v>
      </c>
      <c r="B4029" s="5" t="s">
        <v>9602</v>
      </c>
      <c r="C4029" s="5" t="s">
        <v>17</v>
      </c>
      <c r="D4029" s="5" t="s">
        <v>18</v>
      </c>
      <c r="E4029" s="5" t="s">
        <v>623</v>
      </c>
      <c r="F4029" s="9">
        <v>51</v>
      </c>
      <c r="G4029" s="9">
        <v>565</v>
      </c>
      <c r="H4029" s="5" t="s">
        <v>20</v>
      </c>
      <c r="I4029" s="5" t="s">
        <v>9604</v>
      </c>
      <c r="J4029" s="12" t="str">
        <f>HYPERLINK("https://www.boe.es/gazeta/dias/1804/06/26/pdfs/GMD-1804-51.pdf#page=11","Abrir facsímil")</f>
        <v>Abrir facsímil</v>
      </c>
      <c r="K4029" s="15" t="s">
        <v>22</v>
      </c>
    </row>
    <row r="4030" spans="1:11" ht="42" customHeight="1">
      <c r="A4030" s="4" t="s">
        <v>9605</v>
      </c>
      <c r="B4030" s="5" t="s">
        <v>9606</v>
      </c>
      <c r="C4030" s="5" t="s">
        <v>17</v>
      </c>
      <c r="D4030" s="5" t="s">
        <v>18</v>
      </c>
      <c r="E4030" s="5" t="s">
        <v>182</v>
      </c>
      <c r="F4030" s="9">
        <v>21</v>
      </c>
      <c r="G4030" s="9">
        <v>232</v>
      </c>
      <c r="H4030" s="5" t="s">
        <v>20</v>
      </c>
      <c r="I4030" s="5" t="s">
        <v>9607</v>
      </c>
      <c r="J4030" s="12" t="str">
        <f>HYPERLINK("https://www.boe.es/gazeta/dias/1804/03/13/pdfs/GMD-1804-21.pdf#page=8","Abrir facsímil")</f>
        <v>Abrir facsímil</v>
      </c>
      <c r="K4030" s="15" t="s">
        <v>22</v>
      </c>
    </row>
    <row r="4031" spans="1:11" ht="42" customHeight="1">
      <c r="A4031" s="4" t="s">
        <v>9608</v>
      </c>
      <c r="B4031" s="5" t="s">
        <v>9609</v>
      </c>
      <c r="C4031" s="5" t="s">
        <v>27</v>
      </c>
      <c r="D4031" s="5" t="s">
        <v>28</v>
      </c>
      <c r="E4031" s="5" t="s">
        <v>136</v>
      </c>
      <c r="F4031" s="9">
        <v>23</v>
      </c>
      <c r="G4031" s="9">
        <v>261</v>
      </c>
      <c r="H4031" s="5" t="s">
        <v>20</v>
      </c>
      <c r="I4031" s="5" t="s">
        <v>9610</v>
      </c>
      <c r="J4031" s="12" t="str">
        <f>HYPERLINK("https://www.boe.es/gazeta/dias/1804/03/20/pdfs/GMD-1804-23.pdf#page=7","Abrir facsímil")</f>
        <v>Abrir facsímil</v>
      </c>
      <c r="K4031" s="15" t="s">
        <v>22</v>
      </c>
    </row>
    <row r="4032" spans="1:11" ht="42" customHeight="1">
      <c r="A4032" s="4" t="s">
        <v>9608</v>
      </c>
      <c r="B4032" s="5" t="s">
        <v>9609</v>
      </c>
      <c r="C4032" s="5" t="s">
        <v>27</v>
      </c>
      <c r="D4032" s="5" t="s">
        <v>28</v>
      </c>
      <c r="E4032" s="5" t="s">
        <v>19</v>
      </c>
      <c r="F4032" s="9">
        <v>60</v>
      </c>
      <c r="G4032" s="9">
        <v>665</v>
      </c>
      <c r="H4032" s="5" t="s">
        <v>20</v>
      </c>
      <c r="I4032" s="5" t="s">
        <v>9611</v>
      </c>
      <c r="J4032" s="12" t="str">
        <f>HYPERLINK("https://www.boe.es/gazeta/dias/1804/07/27/pdfs/GMD-1804-60.pdf#page=7","Abrir facsímil")</f>
        <v>Abrir facsímil</v>
      </c>
      <c r="K4032" s="15" t="s">
        <v>22</v>
      </c>
    </row>
    <row r="4033" spans="1:11" ht="42" customHeight="1">
      <c r="A4033" s="4" t="s">
        <v>9612</v>
      </c>
      <c r="B4033" s="5" t="s">
        <v>9613</v>
      </c>
      <c r="C4033" s="5" t="s">
        <v>85</v>
      </c>
      <c r="D4033" s="5" t="s">
        <v>86</v>
      </c>
      <c r="E4033" s="5" t="s">
        <v>1337</v>
      </c>
      <c r="F4033" s="9">
        <v>7</v>
      </c>
      <c r="G4033" s="9">
        <v>71</v>
      </c>
      <c r="H4033" s="5" t="s">
        <v>20</v>
      </c>
      <c r="I4033" s="5" t="s">
        <v>9614</v>
      </c>
      <c r="J4033" s="12" t="str">
        <f>HYPERLINK("https://www.boe.es/gazeta/dias/1804/01/24/pdfs/GMD-1804-7.pdf#page=11","Abrir facsímil")</f>
        <v>Abrir facsímil</v>
      </c>
      <c r="K4033" s="15" t="s">
        <v>22</v>
      </c>
    </row>
    <row r="4034" spans="1:11" ht="42" customHeight="1">
      <c r="A4034" s="4" t="s">
        <v>9612</v>
      </c>
      <c r="B4034" s="5" t="s">
        <v>9613</v>
      </c>
      <c r="C4034" s="5" t="s">
        <v>17</v>
      </c>
      <c r="D4034" s="5" t="s">
        <v>18</v>
      </c>
      <c r="E4034" s="5" t="s">
        <v>511</v>
      </c>
      <c r="F4034" s="9">
        <v>12</v>
      </c>
      <c r="G4034" s="9">
        <v>135</v>
      </c>
      <c r="H4034" s="5" t="s">
        <v>20</v>
      </c>
      <c r="I4034" s="5" t="s">
        <v>9615</v>
      </c>
      <c r="J4034" s="12" t="str">
        <f>HYPERLINK("https://www.boe.es/gazeta/dias/1804/02/10/pdfs/GMD-1804-12.pdf#page=11","Abrir facsímil")</f>
        <v>Abrir facsímil</v>
      </c>
      <c r="K4034" s="15" t="s">
        <v>22</v>
      </c>
    </row>
    <row r="4035" spans="1:11" ht="42" customHeight="1">
      <c r="A4035" s="4" t="s">
        <v>9612</v>
      </c>
      <c r="B4035" s="5" t="s">
        <v>9613</v>
      </c>
      <c r="C4035" s="5" t="s">
        <v>85</v>
      </c>
      <c r="D4035" s="5" t="s">
        <v>86</v>
      </c>
      <c r="E4035" s="5" t="s">
        <v>258</v>
      </c>
      <c r="F4035" s="9">
        <v>14</v>
      </c>
      <c r="G4035" s="9">
        <v>154</v>
      </c>
      <c r="H4035" s="5" t="s">
        <v>20</v>
      </c>
      <c r="I4035" s="5" t="s">
        <v>9616</v>
      </c>
      <c r="J4035" s="12" t="str">
        <f>HYPERLINK("https://www.boe.es/gazeta/dias/1804/02/17/pdfs/GMD-1804-14.pdf#page=10","Abrir facsímil")</f>
        <v>Abrir facsímil</v>
      </c>
      <c r="K4035" s="15" t="s">
        <v>22</v>
      </c>
    </row>
    <row r="4036" spans="1:11" ht="42" customHeight="1">
      <c r="A4036" s="4" t="s">
        <v>9612</v>
      </c>
      <c r="B4036" s="5" t="s">
        <v>9613</v>
      </c>
      <c r="C4036" s="5" t="s">
        <v>85</v>
      </c>
      <c r="D4036" s="5" t="s">
        <v>86</v>
      </c>
      <c r="E4036" s="5" t="s">
        <v>75</v>
      </c>
      <c r="F4036" s="9">
        <v>16</v>
      </c>
      <c r="G4036" s="9">
        <v>174</v>
      </c>
      <c r="H4036" s="5" t="s">
        <v>20</v>
      </c>
      <c r="I4036" s="5" t="s">
        <v>9617</v>
      </c>
      <c r="J4036" s="12" t="str">
        <f>HYPERLINK("https://www.boe.es/gazeta/dias/1804/02/24/pdfs/GMD-1804-16.pdf#page=10","Abrir facsímil")</f>
        <v>Abrir facsímil</v>
      </c>
      <c r="K4036" s="15" t="s">
        <v>22</v>
      </c>
    </row>
    <row r="4037" spans="1:11" ht="42" customHeight="1">
      <c r="A4037" s="4" t="s">
        <v>9612</v>
      </c>
      <c r="B4037" s="5" t="s">
        <v>9613</v>
      </c>
      <c r="C4037" s="5" t="s">
        <v>85</v>
      </c>
      <c r="D4037" s="5" t="s">
        <v>86</v>
      </c>
      <c r="E4037" s="5" t="s">
        <v>538</v>
      </c>
      <c r="F4037" s="9">
        <v>27</v>
      </c>
      <c r="G4037" s="9">
        <v>301</v>
      </c>
      <c r="H4037" s="5" t="s">
        <v>20</v>
      </c>
      <c r="I4037" s="5" t="s">
        <v>9618</v>
      </c>
      <c r="J4037" s="12" t="str">
        <f>HYPERLINK("https://www.boe.es/gazeta/dias/1804/04/03/pdfs/GMD-1804-27.pdf#page=7","Abrir facsímil")</f>
        <v>Abrir facsímil</v>
      </c>
      <c r="K4037" s="15" t="s">
        <v>22</v>
      </c>
    </row>
    <row r="4038" spans="1:11" ht="42" customHeight="1">
      <c r="A4038" s="4" t="s">
        <v>9612</v>
      </c>
      <c r="B4038" s="5" t="s">
        <v>9613</v>
      </c>
      <c r="C4038" s="5" t="s">
        <v>85</v>
      </c>
      <c r="D4038" s="5" t="s">
        <v>86</v>
      </c>
      <c r="E4038" s="5" t="s">
        <v>109</v>
      </c>
      <c r="F4038" s="9">
        <v>35</v>
      </c>
      <c r="G4038" s="9">
        <v>389</v>
      </c>
      <c r="H4038" s="5" t="s">
        <v>20</v>
      </c>
      <c r="I4038" s="5" t="s">
        <v>9619</v>
      </c>
      <c r="J4038" s="12" t="str">
        <f>HYPERLINK("https://www.boe.es/gazeta/dias/1804/05/01/pdfs/GMD-1804-35.pdf#page=11","Abrir facsímil")</f>
        <v>Abrir facsímil</v>
      </c>
      <c r="K4038" s="15" t="s">
        <v>22</v>
      </c>
    </row>
    <row r="4039" spans="1:11" ht="42" customHeight="1">
      <c r="A4039" s="4" t="s">
        <v>9612</v>
      </c>
      <c r="B4039" s="5" t="s">
        <v>9613</v>
      </c>
      <c r="C4039" s="5" t="s">
        <v>85</v>
      </c>
      <c r="D4039" s="5" t="s">
        <v>86</v>
      </c>
      <c r="E4039" s="5" t="s">
        <v>670</v>
      </c>
      <c r="F4039" s="9">
        <v>41</v>
      </c>
      <c r="G4039" s="9">
        <v>459</v>
      </c>
      <c r="H4039" s="5" t="s">
        <v>20</v>
      </c>
      <c r="I4039" s="5" t="s">
        <v>9620</v>
      </c>
      <c r="J4039" s="12" t="str">
        <f>HYPERLINK("https://www.boe.es/gazeta/dias/1804/05/22/pdfs/GMD-1804-41.pdf#page=9","Abrir facsímil")</f>
        <v>Abrir facsímil</v>
      </c>
      <c r="K4039" s="15" t="s">
        <v>22</v>
      </c>
    </row>
    <row r="4040" spans="1:11" ht="42" customHeight="1">
      <c r="A4040" s="4" t="s">
        <v>9612</v>
      </c>
      <c r="B4040" s="5" t="s">
        <v>9613</v>
      </c>
      <c r="C4040" s="5" t="s">
        <v>85</v>
      </c>
      <c r="D4040" s="5" t="s">
        <v>86</v>
      </c>
      <c r="E4040" s="5" t="s">
        <v>800</v>
      </c>
      <c r="F4040" s="9">
        <v>45</v>
      </c>
      <c r="G4040" s="9">
        <v>501</v>
      </c>
      <c r="H4040" s="5" t="s">
        <v>20</v>
      </c>
      <c r="I4040" s="5" t="s">
        <v>9621</v>
      </c>
      <c r="J4040" s="12" t="str">
        <f>HYPERLINK("https://www.boe.es/gazeta/dias/1804/06/05/pdfs/GMD-1804-45.pdf#page=11","Abrir facsímil")</f>
        <v>Abrir facsímil</v>
      </c>
      <c r="K4040" s="15" t="s">
        <v>22</v>
      </c>
    </row>
    <row r="4041" spans="1:11" ht="42" customHeight="1">
      <c r="A4041" s="4" t="s">
        <v>9612</v>
      </c>
      <c r="B4041" s="5" t="s">
        <v>9613</v>
      </c>
      <c r="C4041" s="5" t="s">
        <v>85</v>
      </c>
      <c r="D4041" s="5" t="s">
        <v>86</v>
      </c>
      <c r="E4041" s="5" t="s">
        <v>97</v>
      </c>
      <c r="F4041" s="9">
        <v>50</v>
      </c>
      <c r="G4041" s="9">
        <v>553</v>
      </c>
      <c r="H4041" s="5" t="s">
        <v>20</v>
      </c>
      <c r="I4041" s="5" t="s">
        <v>9622</v>
      </c>
      <c r="J4041" s="12" t="str">
        <f>HYPERLINK("https://www.boe.es/gazeta/dias/1804/06/22/pdfs/GMD-1804-50.pdf#page=7","Abrir facsímil")</f>
        <v>Abrir facsímil</v>
      </c>
      <c r="K4041" s="15" t="s">
        <v>22</v>
      </c>
    </row>
    <row r="4042" spans="1:11" ht="42" customHeight="1">
      <c r="A4042" s="4" t="s">
        <v>9612</v>
      </c>
      <c r="B4042" s="5" t="s">
        <v>9613</v>
      </c>
      <c r="C4042" s="5" t="s">
        <v>85</v>
      </c>
      <c r="D4042" s="5" t="s">
        <v>86</v>
      </c>
      <c r="E4042" s="5" t="s">
        <v>666</v>
      </c>
      <c r="F4042" s="9">
        <v>57</v>
      </c>
      <c r="G4042" s="9">
        <v>633</v>
      </c>
      <c r="H4042" s="5" t="s">
        <v>20</v>
      </c>
      <c r="I4042" s="5" t="s">
        <v>9623</v>
      </c>
      <c r="J4042" s="12" t="str">
        <f>HYPERLINK("https://www.boe.es/gazeta/dias/1804/07/17/pdfs/GMD-1804-57.pdf#page=11","Abrir facsímil")</f>
        <v>Abrir facsímil</v>
      </c>
      <c r="K4042" s="15" t="s">
        <v>22</v>
      </c>
    </row>
    <row r="4043" spans="1:11" ht="42" customHeight="1">
      <c r="A4043" s="4" t="s">
        <v>9612</v>
      </c>
      <c r="B4043" s="5" t="s">
        <v>9613</v>
      </c>
      <c r="C4043" s="5" t="s">
        <v>85</v>
      </c>
      <c r="D4043" s="5" t="s">
        <v>86</v>
      </c>
      <c r="E4043" s="5" t="s">
        <v>587</v>
      </c>
      <c r="F4043" s="9">
        <v>62</v>
      </c>
      <c r="G4043" s="9">
        <v>689</v>
      </c>
      <c r="H4043" s="5" t="s">
        <v>20</v>
      </c>
      <c r="I4043" s="5" t="s">
        <v>9624</v>
      </c>
      <c r="J4043" s="12" t="str">
        <f>HYPERLINK("https://www.boe.es/gazeta/dias/1804/08/03/pdfs/GMD-1804-62.pdf#page=11","Abrir facsímil")</f>
        <v>Abrir facsímil</v>
      </c>
      <c r="K4043" s="15" t="s">
        <v>22</v>
      </c>
    </row>
    <row r="4044" spans="1:11" ht="42" customHeight="1">
      <c r="A4044" s="4" t="s">
        <v>9612</v>
      </c>
      <c r="B4044" s="5" t="s">
        <v>9613</v>
      </c>
      <c r="C4044" s="5" t="s">
        <v>85</v>
      </c>
      <c r="D4044" s="5" t="s">
        <v>86</v>
      </c>
      <c r="E4044" s="5" t="s">
        <v>378</v>
      </c>
      <c r="F4044" s="9">
        <v>65</v>
      </c>
      <c r="G4044" s="9">
        <v>732</v>
      </c>
      <c r="H4044" s="5" t="s">
        <v>20</v>
      </c>
      <c r="I4044" s="5" t="s">
        <v>9625</v>
      </c>
      <c r="J4044" s="12" t="str">
        <f>HYPERLINK("https://www.boe.es/gazeta/dias/1804/08/14/pdfs/GMD-1804-65.pdf#page=10","Abrir facsímil")</f>
        <v>Abrir facsímil</v>
      </c>
      <c r="K4044" s="15" t="s">
        <v>22</v>
      </c>
    </row>
    <row r="4045" spans="1:11" ht="42" customHeight="1">
      <c r="A4045" s="4" t="s">
        <v>9612</v>
      </c>
      <c r="B4045" s="5" t="s">
        <v>9613</v>
      </c>
      <c r="C4045" s="5" t="s">
        <v>85</v>
      </c>
      <c r="D4045" s="5" t="s">
        <v>86</v>
      </c>
      <c r="E4045" s="5" t="s">
        <v>241</v>
      </c>
      <c r="F4045" s="9">
        <v>71</v>
      </c>
      <c r="G4045" s="9">
        <v>793</v>
      </c>
      <c r="H4045" s="5" t="s">
        <v>20</v>
      </c>
      <c r="I4045" s="5" t="s">
        <v>9626</v>
      </c>
      <c r="J4045" s="12" t="str">
        <f>HYPERLINK("https://www.boe.es/gazeta/dias/1804/09/04/pdfs/GMD-1804-71.pdf#page=7","Abrir facsímil")</f>
        <v>Abrir facsímil</v>
      </c>
      <c r="K4045" s="15" t="s">
        <v>22</v>
      </c>
    </row>
    <row r="4046" spans="1:11" ht="42" customHeight="1">
      <c r="A4046" s="4" t="s">
        <v>9612</v>
      </c>
      <c r="B4046" s="5" t="s">
        <v>9613</v>
      </c>
      <c r="C4046" s="5" t="s">
        <v>85</v>
      </c>
      <c r="D4046" s="5" t="s">
        <v>86</v>
      </c>
      <c r="E4046" s="5" t="s">
        <v>427</v>
      </c>
      <c r="F4046" s="9">
        <v>80</v>
      </c>
      <c r="G4046" s="9">
        <v>889</v>
      </c>
      <c r="H4046" s="5" t="s">
        <v>20</v>
      </c>
      <c r="I4046" s="5" t="s">
        <v>9627</v>
      </c>
      <c r="J4046" s="12" t="str">
        <f>HYPERLINK("https://www.boe.es/gazeta/dias/1804/10/05/pdfs/GMD-1804-80.pdf#page=7","Abrir facsímil")</f>
        <v>Abrir facsímil</v>
      </c>
      <c r="K4046" s="15" t="s">
        <v>22</v>
      </c>
    </row>
    <row r="4047" spans="1:11" ht="42" customHeight="1">
      <c r="A4047" s="4" t="s">
        <v>9612</v>
      </c>
      <c r="B4047" s="5" t="s">
        <v>9613</v>
      </c>
      <c r="C4047" s="5" t="s">
        <v>85</v>
      </c>
      <c r="D4047" s="5" t="s">
        <v>86</v>
      </c>
      <c r="E4047" s="5" t="s">
        <v>709</v>
      </c>
      <c r="F4047" s="9">
        <v>82</v>
      </c>
      <c r="G4047" s="9">
        <v>908</v>
      </c>
      <c r="H4047" s="5" t="s">
        <v>20</v>
      </c>
      <c r="I4047" s="5" t="s">
        <v>9628</v>
      </c>
      <c r="J4047" s="12" t="str">
        <f>HYPERLINK("https://www.boe.es/gazeta/dias/1804/10/12/pdfs/GMD-1804-82.pdf#page=10","Abrir facsímil")</f>
        <v>Abrir facsímil</v>
      </c>
      <c r="K4047" s="15" t="s">
        <v>22</v>
      </c>
    </row>
    <row r="4048" spans="1:11" ht="42" customHeight="1">
      <c r="A4048" s="4" t="s">
        <v>9612</v>
      </c>
      <c r="B4048" s="5" t="s">
        <v>9613</v>
      </c>
      <c r="C4048" s="5" t="s">
        <v>85</v>
      </c>
      <c r="D4048" s="5" t="s">
        <v>86</v>
      </c>
      <c r="E4048" s="5" t="s">
        <v>339</v>
      </c>
      <c r="F4048" s="9">
        <v>94</v>
      </c>
      <c r="G4048" s="9">
        <v>1039</v>
      </c>
      <c r="H4048" s="5" t="s">
        <v>20</v>
      </c>
      <c r="I4048" s="5" t="s">
        <v>9629</v>
      </c>
      <c r="J4048" s="12" t="str">
        <f>HYPERLINK("https://www.boe.es/gazeta/dias/1804/11/23/pdfs/GMD-1804-94.pdf#page=7","Abrir facsímil")</f>
        <v>Abrir facsímil</v>
      </c>
      <c r="K4048" s="15" t="s">
        <v>22</v>
      </c>
    </row>
    <row r="4049" spans="1:11" ht="42" customHeight="1">
      <c r="A4049" s="4" t="s">
        <v>9612</v>
      </c>
      <c r="B4049" s="5" t="s">
        <v>9613</v>
      </c>
      <c r="C4049" s="5" t="s">
        <v>85</v>
      </c>
      <c r="D4049" s="5" t="s">
        <v>86</v>
      </c>
      <c r="E4049" s="5" t="s">
        <v>81</v>
      </c>
      <c r="F4049" s="9">
        <v>98</v>
      </c>
      <c r="G4049" s="9">
        <v>1091</v>
      </c>
      <c r="H4049" s="5" t="s">
        <v>20</v>
      </c>
      <c r="I4049" s="5" t="s">
        <v>9630</v>
      </c>
      <c r="J4049" s="12" t="str">
        <f>HYPERLINK("https://www.boe.es/gazeta/dias/1804/12/07/pdfs/GMD-1804-98.pdf#page=7","Abrir facsímil")</f>
        <v>Abrir facsímil</v>
      </c>
      <c r="K4049" s="15" t="s">
        <v>22</v>
      </c>
    </row>
    <row r="4050" spans="1:11" ht="42" customHeight="1">
      <c r="A4050" s="4" t="s">
        <v>9612</v>
      </c>
      <c r="B4050" s="5" t="s">
        <v>9613</v>
      </c>
      <c r="C4050" s="5" t="s">
        <v>85</v>
      </c>
      <c r="D4050" s="5" t="s">
        <v>86</v>
      </c>
      <c r="E4050" s="5" t="s">
        <v>515</v>
      </c>
      <c r="F4050" s="9">
        <v>102</v>
      </c>
      <c r="G4050" s="9">
        <v>1139</v>
      </c>
      <c r="H4050" s="5" t="s">
        <v>20</v>
      </c>
      <c r="I4050" s="5" t="s">
        <v>9631</v>
      </c>
      <c r="J4050" s="12" t="str">
        <f>HYPERLINK("https://www.boe.es/gazeta/dias/1804/12/21/pdfs/GMD-1804-102.pdf#page=7","Abrir facsímil")</f>
        <v>Abrir facsímil</v>
      </c>
      <c r="K4050" s="15" t="s">
        <v>22</v>
      </c>
    </row>
    <row r="4051" spans="1:11" ht="42" customHeight="1">
      <c r="A4051" s="4" t="s">
        <v>9632</v>
      </c>
      <c r="B4051" s="5" t="s">
        <v>9632</v>
      </c>
      <c r="C4051" s="5" t="s">
        <v>65</v>
      </c>
      <c r="D4051" s="5" t="s">
        <v>66</v>
      </c>
      <c r="E4051" s="5" t="s">
        <v>1278</v>
      </c>
      <c r="F4051" s="9">
        <v>37</v>
      </c>
      <c r="G4051" s="9">
        <v>410</v>
      </c>
      <c r="H4051" s="5" t="s">
        <v>20</v>
      </c>
      <c r="I4051" s="5" t="s">
        <v>9633</v>
      </c>
      <c r="J4051" s="12" t="str">
        <f>HYPERLINK("https://www.boe.es/gazeta/dias/1804/05/08/pdfs/GMD-1804-37.pdf#page=8","Abrir facsímil")</f>
        <v>Abrir facsímil</v>
      </c>
      <c r="K4051" s="15" t="s">
        <v>22</v>
      </c>
    </row>
    <row r="4052" spans="1:11" ht="42" customHeight="1">
      <c r="A4052" s="4" t="s">
        <v>9632</v>
      </c>
      <c r="B4052" s="5" t="s">
        <v>9632</v>
      </c>
      <c r="C4052" s="5" t="s">
        <v>65</v>
      </c>
      <c r="D4052" s="5" t="s">
        <v>66</v>
      </c>
      <c r="E4052" s="5" t="s">
        <v>19</v>
      </c>
      <c r="F4052" s="9">
        <v>60</v>
      </c>
      <c r="G4052" s="9">
        <v>663</v>
      </c>
      <c r="H4052" s="5" t="s">
        <v>20</v>
      </c>
      <c r="I4052" s="5" t="s">
        <v>9634</v>
      </c>
      <c r="J4052" s="12" t="str">
        <f>HYPERLINK("https://www.boe.es/gazeta/dias/1804/07/27/pdfs/GMD-1804-60.pdf#page=5","Abrir facsímil")</f>
        <v>Abrir facsímil</v>
      </c>
      <c r="K4052" s="15" t="s">
        <v>22</v>
      </c>
    </row>
    <row r="4053" spans="1:11" ht="42" customHeight="1">
      <c r="A4053" s="4" t="s">
        <v>9635</v>
      </c>
      <c r="B4053" s="5" t="s">
        <v>9636</v>
      </c>
      <c r="C4053" s="5" t="s">
        <v>17</v>
      </c>
      <c r="D4053" s="5" t="s">
        <v>18</v>
      </c>
      <c r="E4053" s="5" t="s">
        <v>71</v>
      </c>
      <c r="F4053" s="9">
        <v>99</v>
      </c>
      <c r="G4053" s="9">
        <v>1107</v>
      </c>
      <c r="H4053" s="5" t="s">
        <v>20</v>
      </c>
      <c r="I4053" s="5" t="s">
        <v>9637</v>
      </c>
      <c r="J4053" s="12" t="str">
        <f>HYPERLINK("https://www.boe.es/gazeta/dias/1804/12/11/pdfs/GMD-1804-99.pdf#page=7","Abrir facsímil")</f>
        <v>Abrir facsímil</v>
      </c>
      <c r="K4053" s="15" t="s">
        <v>22</v>
      </c>
    </row>
    <row r="4054" spans="1:11" ht="42" customHeight="1">
      <c r="A4054" s="4" t="s">
        <v>9638</v>
      </c>
      <c r="B4054" s="5" t="s">
        <v>9639</v>
      </c>
      <c r="C4054" s="5" t="s">
        <v>17</v>
      </c>
      <c r="D4054" s="5" t="s">
        <v>18</v>
      </c>
      <c r="E4054" s="5" t="s">
        <v>367</v>
      </c>
      <c r="F4054" s="9">
        <v>64</v>
      </c>
      <c r="G4054" s="9">
        <v>716</v>
      </c>
      <c r="H4054" s="5" t="s">
        <v>20</v>
      </c>
      <c r="I4054" s="5" t="s">
        <v>9640</v>
      </c>
      <c r="J4054" s="12" t="str">
        <f>HYPERLINK("https://www.boe.es/gazeta/dias/1804/08/10/pdfs/GMD-1804-64.pdf#page=10","Abrir facsímil")</f>
        <v>Abrir facsímil</v>
      </c>
      <c r="K4054" s="15" t="s">
        <v>22</v>
      </c>
    </row>
    <row r="4055" spans="1:11" ht="42" customHeight="1">
      <c r="A4055" s="4" t="s">
        <v>9641</v>
      </c>
      <c r="B4055" s="5" t="s">
        <v>9642</v>
      </c>
      <c r="C4055" s="5" t="s">
        <v>17</v>
      </c>
      <c r="D4055" s="5" t="s">
        <v>18</v>
      </c>
      <c r="E4055" s="5" t="s">
        <v>367</v>
      </c>
      <c r="F4055" s="9">
        <v>64</v>
      </c>
      <c r="G4055" s="9">
        <v>715</v>
      </c>
      <c r="H4055" s="5" t="s">
        <v>20</v>
      </c>
      <c r="I4055" s="5" t="s">
        <v>9643</v>
      </c>
      <c r="J4055" s="12" t="str">
        <f>HYPERLINK("https://www.boe.es/gazeta/dias/1804/08/10/pdfs/GMD-1804-64.pdf#page=9","Abrir facsímil")</f>
        <v>Abrir facsímil</v>
      </c>
      <c r="K4055" s="15" t="s">
        <v>22</v>
      </c>
    </row>
    <row r="4056" spans="1:11" ht="42" customHeight="1">
      <c r="A4056" s="4" t="s">
        <v>9644</v>
      </c>
      <c r="B4056" s="5" t="s">
        <v>9645</v>
      </c>
      <c r="C4056" s="5" t="s">
        <v>27</v>
      </c>
      <c r="D4056" s="5" t="s">
        <v>28</v>
      </c>
      <c r="E4056" s="5" t="s">
        <v>538</v>
      </c>
      <c r="F4056" s="9">
        <v>27</v>
      </c>
      <c r="G4056" s="9">
        <v>300</v>
      </c>
      <c r="H4056" s="5" t="s">
        <v>20</v>
      </c>
      <c r="I4056" s="5" t="s">
        <v>9646</v>
      </c>
      <c r="J4056" s="12" t="str">
        <f>HYPERLINK("https://www.boe.es/gazeta/dias/1804/04/03/pdfs/GMD-1804-27.pdf#page=6","Abrir facsímil")</f>
        <v>Abrir facsímil</v>
      </c>
      <c r="K4056" s="15" t="s">
        <v>22</v>
      </c>
    </row>
    <row r="4057" spans="1:11" ht="42" customHeight="1">
      <c r="A4057" s="4" t="s">
        <v>9647</v>
      </c>
      <c r="B4057" s="5" t="s">
        <v>9648</v>
      </c>
      <c r="C4057" s="5" t="s">
        <v>57</v>
      </c>
      <c r="D4057" s="5" t="s">
        <v>58</v>
      </c>
      <c r="E4057" s="5" t="s">
        <v>23</v>
      </c>
      <c r="F4057" s="9">
        <v>91</v>
      </c>
      <c r="G4057" s="9">
        <v>1005</v>
      </c>
      <c r="H4057" s="5" t="s">
        <v>20</v>
      </c>
      <c r="I4057" s="5" t="s">
        <v>9649</v>
      </c>
      <c r="J4057" s="12" t="str">
        <f>HYPERLINK("https://www.boe.es/gazeta/dias/1804/11/13/pdfs/GMD-1804-91.pdf#page=5","Abrir facsímil")</f>
        <v>Abrir facsímil</v>
      </c>
      <c r="K4057" s="15" t="s">
        <v>22</v>
      </c>
    </row>
    <row r="4058" spans="1:11" ht="42" customHeight="1">
      <c r="A4058" s="4" t="s">
        <v>9650</v>
      </c>
      <c r="B4058" s="5" t="s">
        <v>9651</v>
      </c>
      <c r="C4058" s="5" t="s">
        <v>57</v>
      </c>
      <c r="D4058" s="5" t="s">
        <v>58</v>
      </c>
      <c r="E4058" s="5" t="s">
        <v>699</v>
      </c>
      <c r="F4058" s="9">
        <v>2</v>
      </c>
      <c r="G4058" s="9">
        <v>17</v>
      </c>
      <c r="H4058" s="5" t="s">
        <v>20</v>
      </c>
      <c r="I4058" s="5" t="s">
        <v>9652</v>
      </c>
      <c r="J4058" s="12" t="str">
        <f>HYPERLINK("https://www.boe.es/gazeta/dias/1804/01/06/pdfs/GMD-1804-2.pdf#page=5","Abrir facsímil")</f>
        <v>Abrir facsímil</v>
      </c>
      <c r="K4058" s="15" t="s">
        <v>22</v>
      </c>
    </row>
    <row r="4059" spans="1:11" ht="42" customHeight="1">
      <c r="A4059" s="4" t="s">
        <v>9650</v>
      </c>
      <c r="B4059" s="5" t="s">
        <v>9651</v>
      </c>
      <c r="C4059" s="5" t="s">
        <v>57</v>
      </c>
      <c r="D4059" s="5" t="s">
        <v>58</v>
      </c>
      <c r="E4059" s="5" t="s">
        <v>87</v>
      </c>
      <c r="F4059" s="9">
        <v>9</v>
      </c>
      <c r="G4059" s="9">
        <v>96</v>
      </c>
      <c r="H4059" s="5" t="s">
        <v>20</v>
      </c>
      <c r="I4059" s="5" t="s">
        <v>9653</v>
      </c>
      <c r="J4059" s="12" t="str">
        <f>HYPERLINK("https://www.boe.es/gazeta/dias/1804/01/31/pdfs/GMD-1804-9.pdf#page=8","Abrir facsímil")</f>
        <v>Abrir facsímil</v>
      </c>
      <c r="K4059" s="15" t="s">
        <v>22</v>
      </c>
    </row>
    <row r="4060" spans="1:11" ht="42" customHeight="1">
      <c r="A4060" s="4" t="s">
        <v>9650</v>
      </c>
      <c r="B4060" s="5" t="s">
        <v>9651</v>
      </c>
      <c r="C4060" s="5" t="s">
        <v>57</v>
      </c>
      <c r="D4060" s="5" t="s">
        <v>58</v>
      </c>
      <c r="E4060" s="5" t="s">
        <v>317</v>
      </c>
      <c r="F4060" s="9">
        <v>56</v>
      </c>
      <c r="G4060" s="9">
        <v>615</v>
      </c>
      <c r="H4060" s="5" t="s">
        <v>20</v>
      </c>
      <c r="I4060" s="5" t="s">
        <v>9654</v>
      </c>
      <c r="J4060" s="12" t="str">
        <f>HYPERLINK("https://www.boe.es/gazeta/dias/1804/07/13/pdfs/GMD-1804-56.pdf#page=1","Abrir facsímil")</f>
        <v>Abrir facsímil</v>
      </c>
      <c r="K4060" s="15" t="s">
        <v>22</v>
      </c>
    </row>
    <row r="4061" spans="1:11" ht="42" customHeight="1">
      <c r="A4061" s="4" t="s">
        <v>9650</v>
      </c>
      <c r="B4061" s="5" t="s">
        <v>9651</v>
      </c>
      <c r="C4061" s="5" t="s">
        <v>85</v>
      </c>
      <c r="D4061" s="5" t="s">
        <v>86</v>
      </c>
      <c r="E4061" s="5" t="s">
        <v>666</v>
      </c>
      <c r="F4061" s="9">
        <v>57</v>
      </c>
      <c r="G4061" s="9">
        <v>630</v>
      </c>
      <c r="H4061" s="5" t="s">
        <v>20</v>
      </c>
      <c r="I4061" s="5" t="s">
        <v>9655</v>
      </c>
      <c r="J4061" s="12" t="str">
        <f>HYPERLINK("https://www.boe.es/gazeta/dias/1804/07/17/pdfs/GMD-1804-57.pdf#page=8","Abrir facsímil")</f>
        <v>Abrir facsímil</v>
      </c>
      <c r="K4061" s="15" t="s">
        <v>22</v>
      </c>
    </row>
    <row r="4062" spans="1:11" ht="42" customHeight="1">
      <c r="A4062" s="4" t="s">
        <v>9650</v>
      </c>
      <c r="B4062" s="5" t="s">
        <v>9651</v>
      </c>
      <c r="C4062" s="5" t="s">
        <v>57</v>
      </c>
      <c r="D4062" s="5" t="s">
        <v>58</v>
      </c>
      <c r="E4062" s="5" t="s">
        <v>637</v>
      </c>
      <c r="F4062" s="9">
        <v>74</v>
      </c>
      <c r="G4062" s="9">
        <v>824</v>
      </c>
      <c r="H4062" s="5" t="s">
        <v>20</v>
      </c>
      <c r="I4062" s="5" t="s">
        <v>9656</v>
      </c>
      <c r="J4062" s="12" t="str">
        <f>HYPERLINK("https://www.boe.es/gazeta/dias/1804/09/14/pdfs/GMD-1804-74.pdf#page=2","Abrir facsímil")</f>
        <v>Abrir facsímil</v>
      </c>
      <c r="K4062" s="15" t="s">
        <v>22</v>
      </c>
    </row>
    <row r="4063" spans="1:11" ht="42" customHeight="1">
      <c r="A4063" s="4" t="s">
        <v>9650</v>
      </c>
      <c r="B4063" s="5" t="s">
        <v>9651</v>
      </c>
      <c r="C4063" s="5" t="s">
        <v>57</v>
      </c>
      <c r="D4063" s="5" t="s">
        <v>58</v>
      </c>
      <c r="E4063" s="5" t="s">
        <v>251</v>
      </c>
      <c r="F4063" s="9">
        <v>79</v>
      </c>
      <c r="G4063" s="9">
        <v>876</v>
      </c>
      <c r="H4063" s="5" t="s">
        <v>20</v>
      </c>
      <c r="I4063" s="5" t="s">
        <v>9657</v>
      </c>
      <c r="J4063" s="12" t="str">
        <f>HYPERLINK("https://www.boe.es/gazeta/dias/1804/10/02/pdfs/GMD-1804-79.pdf#page=6","Abrir facsímil")</f>
        <v>Abrir facsímil</v>
      </c>
      <c r="K4063" s="15" t="s">
        <v>22</v>
      </c>
    </row>
    <row r="4064" spans="1:11" ht="42" customHeight="1">
      <c r="A4064" s="4" t="s">
        <v>9658</v>
      </c>
      <c r="B4064" s="5" t="s">
        <v>9659</v>
      </c>
      <c r="C4064" s="5" t="s">
        <v>17</v>
      </c>
      <c r="D4064" s="5" t="s">
        <v>18</v>
      </c>
      <c r="E4064" s="5" t="s">
        <v>354</v>
      </c>
      <c r="F4064" s="9">
        <v>1</v>
      </c>
      <c r="G4064" s="9">
        <v>3</v>
      </c>
      <c r="H4064" s="5" t="s">
        <v>20</v>
      </c>
      <c r="I4064" s="5" t="s">
        <v>9660</v>
      </c>
      <c r="J4064" s="12" t="str">
        <f>HYPERLINK("https://www.boe.es/gazeta/dias/1804/01/03/pdfs/GMD-1804-1.pdf#page=3","Abrir facsímil")</f>
        <v>Abrir facsímil</v>
      </c>
      <c r="K4064" s="15" t="s">
        <v>22</v>
      </c>
    </row>
    <row r="4065" spans="1:11" ht="42" customHeight="1">
      <c r="A4065" s="4" t="s">
        <v>9658</v>
      </c>
      <c r="B4065" s="5" t="s">
        <v>9659</v>
      </c>
      <c r="C4065" s="5" t="s">
        <v>57</v>
      </c>
      <c r="D4065" s="5" t="s">
        <v>58</v>
      </c>
      <c r="E4065" s="5" t="s">
        <v>136</v>
      </c>
      <c r="F4065" s="9">
        <v>23</v>
      </c>
      <c r="G4065" s="9">
        <v>258</v>
      </c>
      <c r="H4065" s="5" t="s">
        <v>20</v>
      </c>
      <c r="I4065" s="5" t="s">
        <v>9661</v>
      </c>
      <c r="J4065" s="12" t="str">
        <f>HYPERLINK("https://www.boe.es/gazeta/dias/1804/03/20/pdfs/GMD-1804-23.pdf#page=4","Abrir facsímil")</f>
        <v>Abrir facsímil</v>
      </c>
      <c r="K4065" s="15" t="s">
        <v>22</v>
      </c>
    </row>
    <row r="4066" spans="1:11" ht="42" customHeight="1">
      <c r="A4066" s="4" t="s">
        <v>9658</v>
      </c>
      <c r="B4066" s="5" t="s">
        <v>9659</v>
      </c>
      <c r="C4066" s="5" t="s">
        <v>57</v>
      </c>
      <c r="D4066" s="5" t="s">
        <v>58</v>
      </c>
      <c r="E4066" s="5" t="s">
        <v>61</v>
      </c>
      <c r="F4066" s="9">
        <v>61</v>
      </c>
      <c r="G4066" s="9">
        <v>674</v>
      </c>
      <c r="H4066" s="5" t="s">
        <v>20</v>
      </c>
      <c r="I4066" s="5" t="s">
        <v>9662</v>
      </c>
      <c r="J4066" s="12" t="str">
        <f>HYPERLINK("https://www.boe.es/gazeta/dias/1804/07/31/pdfs/GMD-1804-61.pdf#page=4","Abrir facsímil")</f>
        <v>Abrir facsímil</v>
      </c>
      <c r="K4066" s="15" t="s">
        <v>22</v>
      </c>
    </row>
    <row r="4067" spans="1:11" ht="42" customHeight="1">
      <c r="A4067" s="4" t="s">
        <v>9658</v>
      </c>
      <c r="B4067" s="5" t="s">
        <v>9659</v>
      </c>
      <c r="C4067" s="5" t="s">
        <v>57</v>
      </c>
      <c r="D4067" s="5" t="s">
        <v>58</v>
      </c>
      <c r="E4067" s="5" t="s">
        <v>547</v>
      </c>
      <c r="F4067" s="9">
        <v>68</v>
      </c>
      <c r="G4067" s="9">
        <v>759</v>
      </c>
      <c r="H4067" s="5" t="s">
        <v>20</v>
      </c>
      <c r="I4067" s="5" t="s">
        <v>9663</v>
      </c>
      <c r="J4067" s="12" t="str">
        <f>HYPERLINK("https://www.boe.es/gazeta/dias/1804/08/24/pdfs/GMD-1804-68.pdf#page=5","Abrir facsímil")</f>
        <v>Abrir facsímil</v>
      </c>
      <c r="K4067" s="15" t="s">
        <v>22</v>
      </c>
    </row>
    <row r="4068" spans="1:11" ht="42" customHeight="1">
      <c r="A4068" s="4" t="s">
        <v>9658</v>
      </c>
      <c r="B4068" s="5" t="s">
        <v>9659</v>
      </c>
      <c r="C4068" s="5" t="s">
        <v>57</v>
      </c>
      <c r="D4068" s="5" t="s">
        <v>58</v>
      </c>
      <c r="E4068" s="5" t="s">
        <v>736</v>
      </c>
      <c r="F4068" s="9">
        <v>83</v>
      </c>
      <c r="G4068" s="9">
        <v>915</v>
      </c>
      <c r="H4068" s="5" t="s">
        <v>20</v>
      </c>
      <c r="I4068" s="5" t="s">
        <v>9664</v>
      </c>
      <c r="J4068" s="12" t="str">
        <f>HYPERLINK("https://www.boe.es/gazeta/dias/1804/10/16/pdfs/GMD-1804-83.pdf#page=5","Abrir facsímil")</f>
        <v>Abrir facsímil</v>
      </c>
      <c r="K4068" s="15" t="s">
        <v>22</v>
      </c>
    </row>
    <row r="4069" spans="1:11" ht="42" customHeight="1">
      <c r="A4069" s="4" t="s">
        <v>9658</v>
      </c>
      <c r="B4069" s="5" t="s">
        <v>9659</v>
      </c>
      <c r="C4069" s="5" t="s">
        <v>17</v>
      </c>
      <c r="D4069" s="5" t="s">
        <v>18</v>
      </c>
      <c r="E4069" s="5" t="s">
        <v>29</v>
      </c>
      <c r="F4069" s="9">
        <v>88</v>
      </c>
      <c r="G4069" s="9">
        <v>973</v>
      </c>
      <c r="H4069" s="5" t="s">
        <v>20</v>
      </c>
      <c r="I4069" s="5" t="s">
        <v>9665</v>
      </c>
      <c r="J4069" s="12" t="str">
        <f>HYPERLINK("https://www.boe.es/gazeta/dias/1804/11/02/pdfs/GMD-1804-88.pdf#page=5","Abrir facsímil")</f>
        <v>Abrir facsímil</v>
      </c>
      <c r="K4069" s="15" t="s">
        <v>22</v>
      </c>
    </row>
    <row r="4070" spans="1:11" ht="42" customHeight="1">
      <c r="A4070" s="4" t="s">
        <v>9658</v>
      </c>
      <c r="B4070" s="5" t="s">
        <v>9659</v>
      </c>
      <c r="C4070" s="5" t="s">
        <v>57</v>
      </c>
      <c r="D4070" s="5" t="s">
        <v>58</v>
      </c>
      <c r="E4070" s="5" t="s">
        <v>23</v>
      </c>
      <c r="F4070" s="9">
        <v>91</v>
      </c>
      <c r="G4070" s="9">
        <v>1005</v>
      </c>
      <c r="H4070" s="5" t="s">
        <v>20</v>
      </c>
      <c r="I4070" s="5" t="s">
        <v>9666</v>
      </c>
      <c r="J4070" s="12" t="str">
        <f>HYPERLINK("https://www.boe.es/gazeta/dias/1804/11/13/pdfs/GMD-1804-91.pdf#page=5","Abrir facsímil")</f>
        <v>Abrir facsímil</v>
      </c>
      <c r="K4070" s="15" t="s">
        <v>22</v>
      </c>
    </row>
    <row r="4071" spans="1:11" ht="42" customHeight="1">
      <c r="A4071" s="4" t="s">
        <v>9658</v>
      </c>
      <c r="B4071" s="5" t="s">
        <v>9659</v>
      </c>
      <c r="C4071" s="5" t="s">
        <v>57</v>
      </c>
      <c r="D4071" s="5" t="s">
        <v>58</v>
      </c>
      <c r="E4071" s="5" t="s">
        <v>191</v>
      </c>
      <c r="F4071" s="9">
        <v>101</v>
      </c>
      <c r="G4071" s="9">
        <v>1124</v>
      </c>
      <c r="H4071" s="5" t="s">
        <v>20</v>
      </c>
      <c r="I4071" s="5" t="s">
        <v>9667</v>
      </c>
      <c r="J4071" s="12" t="str">
        <f>HYPERLINK("https://www.boe.es/gazeta/dias/1804/12/18/pdfs/GMD-1804-101.pdf#page=4","Abrir facsímil")</f>
        <v>Abrir facsímil</v>
      </c>
      <c r="K4071" s="15" t="s">
        <v>22</v>
      </c>
    </row>
    <row r="4072" spans="1:11" ht="42" customHeight="1">
      <c r="A4072" s="4" t="s">
        <v>9668</v>
      </c>
      <c r="B4072" s="5" t="s">
        <v>9669</v>
      </c>
      <c r="C4072" s="5" t="s">
        <v>27</v>
      </c>
      <c r="D4072" s="5" t="s">
        <v>28</v>
      </c>
      <c r="E4072" s="5" t="s">
        <v>339</v>
      </c>
      <c r="F4072" s="9">
        <v>94</v>
      </c>
      <c r="G4072" s="9">
        <v>1036</v>
      </c>
      <c r="H4072" s="5" t="s">
        <v>20</v>
      </c>
      <c r="I4072" s="5" t="s">
        <v>9670</v>
      </c>
      <c r="J4072" s="12" t="str">
        <f>HYPERLINK("https://www.boe.es/gazeta/dias/1804/11/23/pdfs/GMD-1804-94.pdf#page=4","Abrir facsímil")</f>
        <v>Abrir facsímil</v>
      </c>
      <c r="K4072" s="15" t="s">
        <v>22</v>
      </c>
    </row>
    <row r="4073" spans="1:11" ht="42" customHeight="1">
      <c r="A4073" s="4" t="s">
        <v>9671</v>
      </c>
      <c r="B4073" s="5" t="s">
        <v>9671</v>
      </c>
      <c r="C4073" s="5" t="s">
        <v>17</v>
      </c>
      <c r="D4073" s="5" t="s">
        <v>18</v>
      </c>
      <c r="E4073" s="5" t="s">
        <v>175</v>
      </c>
      <c r="F4073" s="9">
        <v>58</v>
      </c>
      <c r="G4073" s="9">
        <v>638</v>
      </c>
      <c r="H4073" s="5" t="s">
        <v>20</v>
      </c>
      <c r="I4073" s="5" t="s">
        <v>9672</v>
      </c>
      <c r="J4073" s="12" t="str">
        <f>HYPERLINK("https://www.boe.es/gazeta/dias/1804/07/20/pdfs/GMD-1804-58.pdf#page=4","Abrir facsímil")</f>
        <v>Abrir facsímil</v>
      </c>
      <c r="K4073" s="15" t="s">
        <v>22</v>
      </c>
    </row>
    <row r="4074" spans="1:11" ht="42" customHeight="1">
      <c r="A4074" s="4" t="s">
        <v>9671</v>
      </c>
      <c r="B4074" s="5" t="s">
        <v>9671</v>
      </c>
      <c r="C4074" s="5" t="s">
        <v>17</v>
      </c>
      <c r="D4074" s="5" t="s">
        <v>18</v>
      </c>
      <c r="E4074" s="5" t="s">
        <v>61</v>
      </c>
      <c r="F4074" s="9">
        <v>61</v>
      </c>
      <c r="G4074" s="9">
        <v>677</v>
      </c>
      <c r="H4074" s="5" t="s">
        <v>20</v>
      </c>
      <c r="I4074" s="5" t="s">
        <v>9673</v>
      </c>
      <c r="J4074" s="12" t="str">
        <f>HYPERLINK("https://www.boe.es/gazeta/dias/1804/07/31/pdfs/GMD-1804-61.pdf#page=7","Abrir facsímil")</f>
        <v>Abrir facsímil</v>
      </c>
      <c r="K4074" s="15" t="s">
        <v>22</v>
      </c>
    </row>
    <row r="4075" spans="1:11" ht="42" customHeight="1">
      <c r="A4075" s="4" t="s">
        <v>9674</v>
      </c>
      <c r="B4075" s="5" t="s">
        <v>9674</v>
      </c>
      <c r="C4075" s="5" t="s">
        <v>17</v>
      </c>
      <c r="D4075" s="5" t="s">
        <v>18</v>
      </c>
      <c r="E4075" s="5" t="s">
        <v>466</v>
      </c>
      <c r="F4075" s="9">
        <v>76</v>
      </c>
      <c r="G4075" s="9">
        <v>850</v>
      </c>
      <c r="H4075" s="5" t="s">
        <v>20</v>
      </c>
      <c r="I4075" s="5" t="s">
        <v>9675</v>
      </c>
      <c r="J4075" s="12" t="str">
        <f>HYPERLINK("https://www.boe.es/gazeta/dias/1804/09/21/pdfs/GMD-1804-76.pdf#page=8","Abrir facsímil")</f>
        <v>Abrir facsímil</v>
      </c>
      <c r="K4075" s="15" t="s">
        <v>22</v>
      </c>
    </row>
    <row r="4076" spans="1:11" ht="42" customHeight="1">
      <c r="A4076" s="4" t="s">
        <v>9676</v>
      </c>
      <c r="B4076" s="5" t="s">
        <v>9676</v>
      </c>
      <c r="C4076" s="5" t="s">
        <v>57</v>
      </c>
      <c r="D4076" s="5" t="s">
        <v>58</v>
      </c>
      <c r="E4076" s="5" t="s">
        <v>75</v>
      </c>
      <c r="F4076" s="9">
        <v>16</v>
      </c>
      <c r="G4076" s="9">
        <v>165</v>
      </c>
      <c r="H4076" s="5" t="s">
        <v>20</v>
      </c>
      <c r="I4076" s="5" t="s">
        <v>9677</v>
      </c>
      <c r="J4076" s="12" t="str">
        <f>HYPERLINK("https://www.boe.es/gazeta/dias/1804/02/24/pdfs/GMD-1804-16.pdf#page=1","Abrir facsímil")</f>
        <v>Abrir facsímil</v>
      </c>
      <c r="K4076" s="15" t="s">
        <v>22</v>
      </c>
    </row>
    <row r="4077" spans="1:11" ht="42" customHeight="1">
      <c r="A4077" s="4" t="s">
        <v>9678</v>
      </c>
      <c r="B4077" s="5" t="s">
        <v>9679</v>
      </c>
      <c r="C4077" s="5" t="s">
        <v>65</v>
      </c>
      <c r="D4077" s="5" t="s">
        <v>66</v>
      </c>
      <c r="E4077" s="5" t="s">
        <v>81</v>
      </c>
      <c r="F4077" s="9">
        <v>98</v>
      </c>
      <c r="G4077" s="9">
        <v>1088</v>
      </c>
      <c r="H4077" s="5" t="s">
        <v>20</v>
      </c>
      <c r="I4077" s="5" t="s">
        <v>9680</v>
      </c>
      <c r="J4077" s="12" t="str">
        <f>HYPERLINK("https://www.boe.es/gazeta/dias/1804/12/07/pdfs/GMD-1804-98.pdf#page=4","Abrir facsímil")</f>
        <v>Abrir facsímil</v>
      </c>
      <c r="K4077" s="15" t="s">
        <v>22</v>
      </c>
    </row>
    <row r="4078" spans="1:11" ht="42" customHeight="1">
      <c r="A4078" s="4" t="s">
        <v>9681</v>
      </c>
      <c r="B4078" s="5" t="s">
        <v>9682</v>
      </c>
      <c r="C4078" s="5" t="s">
        <v>17</v>
      </c>
      <c r="D4078" s="5" t="s">
        <v>18</v>
      </c>
      <c r="E4078" s="5" t="s">
        <v>91</v>
      </c>
      <c r="F4078" s="9">
        <v>72</v>
      </c>
      <c r="G4078" s="9">
        <v>805</v>
      </c>
      <c r="H4078" s="5" t="s">
        <v>20</v>
      </c>
      <c r="I4078" s="5" t="s">
        <v>9683</v>
      </c>
      <c r="J4078" s="12" t="str">
        <f>HYPERLINK("https://www.boe.es/gazeta/dias/1804/09/07/pdfs/GMD-1804-72.pdf#page=7","Abrir facsímil")</f>
        <v>Abrir facsímil</v>
      </c>
      <c r="K4078" s="15" t="s">
        <v>22</v>
      </c>
    </row>
    <row r="4079" spans="1:11" ht="42" customHeight="1">
      <c r="A4079" s="4" t="s">
        <v>9684</v>
      </c>
      <c r="B4079" s="5" t="s">
        <v>9685</v>
      </c>
      <c r="C4079" s="5" t="s">
        <v>57</v>
      </c>
      <c r="D4079" s="5" t="s">
        <v>58</v>
      </c>
      <c r="E4079" s="5" t="s">
        <v>308</v>
      </c>
      <c r="F4079" s="9">
        <v>96</v>
      </c>
      <c r="G4079" s="9">
        <v>1065</v>
      </c>
      <c r="H4079" s="5" t="s">
        <v>20</v>
      </c>
      <c r="I4079" s="5" t="s">
        <v>9686</v>
      </c>
      <c r="J4079" s="12" t="str">
        <f>HYPERLINK("https://www.boe.es/gazeta/dias/1804/11/30/pdfs/GMD-1804-96.pdf#page=5","Abrir facsímil")</f>
        <v>Abrir facsímil</v>
      </c>
      <c r="K4079" s="15" t="s">
        <v>22</v>
      </c>
    </row>
    <row r="4080" spans="1:11" ht="42" customHeight="1">
      <c r="A4080" s="4" t="s">
        <v>9687</v>
      </c>
      <c r="B4080" s="5" t="s">
        <v>9688</v>
      </c>
      <c r="C4080" s="5" t="s">
        <v>85</v>
      </c>
      <c r="D4080" s="5" t="s">
        <v>86</v>
      </c>
      <c r="E4080" s="5" t="s">
        <v>302</v>
      </c>
      <c r="F4080" s="9">
        <v>3</v>
      </c>
      <c r="G4080" s="9">
        <v>26</v>
      </c>
      <c r="H4080" s="5" t="s">
        <v>20</v>
      </c>
      <c r="I4080" s="5" t="s">
        <v>9689</v>
      </c>
      <c r="J4080" s="12" t="str">
        <f>HYPERLINK("https://www.boe.es/gazeta/dias/1804/01/10/pdfs/GMD-1804-3.pdf#page=6","Abrir facsímil")</f>
        <v>Abrir facsímil</v>
      </c>
      <c r="K4080" s="15" t="s">
        <v>22</v>
      </c>
    </row>
    <row r="4081" spans="1:11" ht="42" customHeight="1">
      <c r="A4081" s="4" t="s">
        <v>9687</v>
      </c>
      <c r="B4081" s="5" t="s">
        <v>9688</v>
      </c>
      <c r="C4081" s="5" t="s">
        <v>57</v>
      </c>
      <c r="D4081" s="5" t="s">
        <v>58</v>
      </c>
      <c r="E4081" s="5" t="s">
        <v>479</v>
      </c>
      <c r="F4081" s="9">
        <v>5</v>
      </c>
      <c r="G4081" s="9">
        <v>44</v>
      </c>
      <c r="H4081" s="5" t="s">
        <v>20</v>
      </c>
      <c r="I4081" s="5" t="s">
        <v>9690</v>
      </c>
      <c r="J4081" s="12" t="str">
        <f>HYPERLINK("https://www.boe.es/gazeta/dias/1804/01/17/pdfs/GMD-1804-5.pdf#page=4","Abrir facsímil")</f>
        <v>Abrir facsímil</v>
      </c>
      <c r="K4081" s="15" t="s">
        <v>22</v>
      </c>
    </row>
    <row r="4082" spans="1:11" ht="42" customHeight="1">
      <c r="A4082" s="4" t="s">
        <v>9687</v>
      </c>
      <c r="B4082" s="5" t="s">
        <v>9688</v>
      </c>
      <c r="C4082" s="5" t="s">
        <v>57</v>
      </c>
      <c r="D4082" s="5" t="s">
        <v>58</v>
      </c>
      <c r="E4082" s="5" t="s">
        <v>511</v>
      </c>
      <c r="F4082" s="9">
        <v>12</v>
      </c>
      <c r="G4082" s="9">
        <v>129</v>
      </c>
      <c r="H4082" s="5" t="s">
        <v>20</v>
      </c>
      <c r="I4082" s="5" t="s">
        <v>9691</v>
      </c>
      <c r="J4082" s="12" t="str">
        <f>HYPERLINK("https://www.boe.es/gazeta/dias/1804/02/10/pdfs/GMD-1804-12.pdf#page=5","Abrir facsímil")</f>
        <v>Abrir facsímil</v>
      </c>
      <c r="K4082" s="15" t="s">
        <v>22</v>
      </c>
    </row>
    <row r="4083" spans="1:11" ht="42" customHeight="1">
      <c r="A4083" s="4" t="s">
        <v>9692</v>
      </c>
      <c r="B4083" s="5" t="s">
        <v>9693</v>
      </c>
      <c r="C4083" s="5" t="s">
        <v>27</v>
      </c>
      <c r="D4083" s="5" t="s">
        <v>28</v>
      </c>
      <c r="E4083" s="5" t="s">
        <v>490</v>
      </c>
      <c r="F4083" s="9">
        <v>100</v>
      </c>
      <c r="G4083" s="9">
        <v>1119</v>
      </c>
      <c r="H4083" s="5" t="s">
        <v>20</v>
      </c>
      <c r="I4083" s="5" t="s">
        <v>9694</v>
      </c>
      <c r="J4083" s="12" t="str">
        <f>HYPERLINK("https://www.boe.es/gazeta/dias/1804/12/14/pdfs/GMD-1804-100.pdf#page=11","Abrir facsímil")</f>
        <v>Abrir facsímil</v>
      </c>
      <c r="K4083" s="15" t="s">
        <v>22</v>
      </c>
    </row>
    <row r="4084" spans="1:11" ht="42" customHeight="1">
      <c r="A4084" s="4" t="s">
        <v>9695</v>
      </c>
      <c r="B4084" s="5" t="s">
        <v>9696</v>
      </c>
      <c r="C4084" s="5" t="s">
        <v>27</v>
      </c>
      <c r="D4084" s="5" t="s">
        <v>28</v>
      </c>
      <c r="E4084" s="5" t="s">
        <v>272</v>
      </c>
      <c r="F4084" s="9">
        <v>30</v>
      </c>
      <c r="G4084" s="9">
        <v>331</v>
      </c>
      <c r="H4084" s="5" t="s">
        <v>20</v>
      </c>
      <c r="I4084" s="5" t="s">
        <v>9697</v>
      </c>
      <c r="J4084" s="12" t="str">
        <f>HYPERLINK("https://www.boe.es/gazeta/dias/1804/04/13/pdfs/GMD-1804-30.pdf#page=9","Abrir facsímil")</f>
        <v>Abrir facsímil</v>
      </c>
      <c r="K4084" s="15" t="s">
        <v>22</v>
      </c>
    </row>
    <row r="4085" spans="1:11" ht="42" customHeight="1">
      <c r="A4085" s="4" t="s">
        <v>9698</v>
      </c>
      <c r="B4085" s="5" t="s">
        <v>9699</v>
      </c>
      <c r="C4085" s="5" t="s">
        <v>17</v>
      </c>
      <c r="D4085" s="5" t="s">
        <v>18</v>
      </c>
      <c r="E4085" s="5" t="s">
        <v>272</v>
      </c>
      <c r="F4085" s="9">
        <v>30</v>
      </c>
      <c r="G4085" s="9">
        <v>330</v>
      </c>
      <c r="H4085" s="5" t="s">
        <v>20</v>
      </c>
      <c r="I4085" s="5" t="s">
        <v>9700</v>
      </c>
      <c r="J4085" s="12" t="str">
        <f>HYPERLINK("https://www.boe.es/gazeta/dias/1804/04/13/pdfs/GMD-1804-30.pdf#page=8","Abrir facsímil")</f>
        <v>Abrir facsímil</v>
      </c>
      <c r="K4085" s="15" t="s">
        <v>22</v>
      </c>
    </row>
    <row r="4086" spans="1:11" ht="42" customHeight="1">
      <c r="A4086" s="4" t="s">
        <v>9698</v>
      </c>
      <c r="B4086" s="5" t="s">
        <v>9699</v>
      </c>
      <c r="C4086" s="5" t="s">
        <v>17</v>
      </c>
      <c r="D4086" s="5" t="s">
        <v>18</v>
      </c>
      <c r="E4086" s="5" t="s">
        <v>547</v>
      </c>
      <c r="F4086" s="9">
        <v>68</v>
      </c>
      <c r="G4086" s="9">
        <v>763</v>
      </c>
      <c r="H4086" s="5" t="s">
        <v>20</v>
      </c>
      <c r="I4086" s="5" t="s">
        <v>9701</v>
      </c>
      <c r="J4086" s="12" t="str">
        <f>HYPERLINK("https://www.boe.es/gazeta/dias/1804/08/24/pdfs/GMD-1804-68.pdf#page=9","Abrir facsímil")</f>
        <v>Abrir facsímil</v>
      </c>
      <c r="K4086" s="15" t="s">
        <v>22</v>
      </c>
    </row>
    <row r="4087" spans="1:11" ht="42" customHeight="1">
      <c r="A4087" s="4" t="s">
        <v>9702</v>
      </c>
      <c r="B4087" s="5" t="s">
        <v>9703</v>
      </c>
      <c r="C4087" s="5" t="s">
        <v>57</v>
      </c>
      <c r="D4087" s="5" t="s">
        <v>58</v>
      </c>
      <c r="E4087" s="5" t="s">
        <v>103</v>
      </c>
      <c r="F4087" s="9">
        <v>11</v>
      </c>
      <c r="G4087" s="9">
        <v>119</v>
      </c>
      <c r="H4087" s="5" t="s">
        <v>20</v>
      </c>
      <c r="I4087" s="5" t="s">
        <v>9704</v>
      </c>
      <c r="J4087" s="12" t="str">
        <f>HYPERLINK("https://www.boe.es/gazeta/dias/1804/02/07/pdfs/GMD-1804-11.pdf#page=7","Abrir facsímil")</f>
        <v>Abrir facsímil</v>
      </c>
      <c r="K4087" s="15" t="s">
        <v>22</v>
      </c>
    </row>
    <row r="4088" spans="1:11" ht="42" customHeight="1">
      <c r="A4088" s="4" t="s">
        <v>9705</v>
      </c>
      <c r="B4088" s="5" t="s">
        <v>9706</v>
      </c>
      <c r="C4088" s="5" t="s">
        <v>17</v>
      </c>
      <c r="D4088" s="5" t="s">
        <v>18</v>
      </c>
      <c r="E4088" s="5" t="s">
        <v>484</v>
      </c>
      <c r="F4088" s="9">
        <v>53</v>
      </c>
      <c r="G4088" s="9">
        <v>592</v>
      </c>
      <c r="H4088" s="5" t="s">
        <v>20</v>
      </c>
      <c r="I4088" s="5" t="s">
        <v>9707</v>
      </c>
      <c r="J4088" s="12" t="str">
        <f>HYPERLINK("https://www.boe.es/gazeta/dias/1804/07/03/pdfs/GMD-1804-53.pdf#page=10","Abrir facsímil")</f>
        <v>Abrir facsímil</v>
      </c>
      <c r="K4088" s="15" t="s">
        <v>22</v>
      </c>
    </row>
    <row r="4089" spans="1:11" ht="42" customHeight="1">
      <c r="A4089" s="4" t="s">
        <v>9708</v>
      </c>
      <c r="B4089" s="5" t="s">
        <v>9708</v>
      </c>
      <c r="C4089" s="5" t="s">
        <v>17</v>
      </c>
      <c r="D4089" s="5" t="s">
        <v>18</v>
      </c>
      <c r="E4089" s="5" t="s">
        <v>71</v>
      </c>
      <c r="F4089" s="9">
        <v>99</v>
      </c>
      <c r="G4089" s="9">
        <v>1107</v>
      </c>
      <c r="H4089" s="5" t="s">
        <v>20</v>
      </c>
      <c r="I4089" s="5" t="s">
        <v>9709</v>
      </c>
      <c r="J4089" s="12" t="str">
        <f>HYPERLINK("https://www.boe.es/gazeta/dias/1804/12/11/pdfs/GMD-1804-99.pdf#page=7","Abrir facsímil")</f>
        <v>Abrir facsímil</v>
      </c>
      <c r="K4089" s="15" t="s">
        <v>22</v>
      </c>
    </row>
    <row r="4090" spans="1:11" ht="42" customHeight="1">
      <c r="A4090" s="4" t="s">
        <v>9710</v>
      </c>
      <c r="B4090" s="5" t="s">
        <v>9711</v>
      </c>
      <c r="C4090" s="5" t="s">
        <v>57</v>
      </c>
      <c r="D4090" s="5" t="s">
        <v>58</v>
      </c>
      <c r="E4090" s="5" t="s">
        <v>547</v>
      </c>
      <c r="F4090" s="9">
        <v>68</v>
      </c>
      <c r="G4090" s="9">
        <v>756</v>
      </c>
      <c r="H4090" s="5" t="s">
        <v>20</v>
      </c>
      <c r="I4090" s="5" t="s">
        <v>9712</v>
      </c>
      <c r="J4090" s="12" t="str">
        <f>HYPERLINK("https://www.boe.es/gazeta/dias/1804/08/24/pdfs/GMD-1804-68.pdf#page=2","Abrir facsímil")</f>
        <v>Abrir facsímil</v>
      </c>
      <c r="K4090" s="15" t="s">
        <v>22</v>
      </c>
    </row>
    <row r="4091" spans="1:11" ht="42" customHeight="1">
      <c r="A4091" s="4" t="s">
        <v>9713</v>
      </c>
      <c r="B4091" s="5" t="s">
        <v>9714</v>
      </c>
      <c r="C4091" s="5" t="s">
        <v>65</v>
      </c>
      <c r="D4091" s="5" t="s">
        <v>66</v>
      </c>
      <c r="E4091" s="5" t="s">
        <v>678</v>
      </c>
      <c r="F4091" s="9">
        <v>104</v>
      </c>
      <c r="G4091" s="9">
        <v>1162</v>
      </c>
      <c r="H4091" s="5" t="s">
        <v>20</v>
      </c>
      <c r="I4091" s="5" t="s">
        <v>9715</v>
      </c>
      <c r="J4091" s="12" t="str">
        <f>HYPERLINK("https://www.boe.es/gazeta/dias/1804/12/28/pdfs/GMD-1804-104.pdf#page=10","Abrir facsímil")</f>
        <v>Abrir facsímil</v>
      </c>
      <c r="K4091" s="15" t="s">
        <v>22</v>
      </c>
    </row>
    <row r="4092" spans="1:11" ht="42" customHeight="1">
      <c r="A4092" s="4" t="s">
        <v>9716</v>
      </c>
      <c r="B4092" s="5" t="s">
        <v>9717</v>
      </c>
      <c r="C4092" s="5" t="s">
        <v>27</v>
      </c>
      <c r="D4092" s="5" t="s">
        <v>28</v>
      </c>
      <c r="E4092" s="5" t="s">
        <v>199</v>
      </c>
      <c r="F4092" s="9">
        <v>46</v>
      </c>
      <c r="G4092" s="9">
        <v>512</v>
      </c>
      <c r="H4092" s="5" t="s">
        <v>20</v>
      </c>
      <c r="I4092" s="5" t="s">
        <v>9718</v>
      </c>
      <c r="J4092" s="12" t="str">
        <f>HYPERLINK("https://www.boe.es/gazeta/dias/1804/06/08/pdfs/GMD-1804-46.pdf#page=10","Abrir facsímil")</f>
        <v>Abrir facsímil</v>
      </c>
      <c r="K4092" s="15" t="s">
        <v>22</v>
      </c>
    </row>
    <row r="4093" spans="1:11" ht="42" customHeight="1">
      <c r="A4093" s="4" t="s">
        <v>9719</v>
      </c>
      <c r="B4093" s="5" t="s">
        <v>9720</v>
      </c>
      <c r="C4093" s="5" t="s">
        <v>17</v>
      </c>
      <c r="D4093" s="5" t="s">
        <v>18</v>
      </c>
      <c r="E4093" s="5" t="s">
        <v>421</v>
      </c>
      <c r="F4093" s="9">
        <v>47</v>
      </c>
      <c r="G4093" s="9">
        <v>528</v>
      </c>
      <c r="H4093" s="5" t="s">
        <v>20</v>
      </c>
      <c r="I4093" s="5" t="s">
        <v>9721</v>
      </c>
      <c r="J4093" s="12" t="str">
        <f>HYPERLINK("https://www.boe.es/gazeta/dias/1804/06/12/pdfs/GMD-1804-47.pdf#page=10","Abrir facsímil")</f>
        <v>Abrir facsímil</v>
      </c>
      <c r="K4093" s="15" t="s">
        <v>22</v>
      </c>
    </row>
    <row r="4094" spans="1:11" ht="42" customHeight="1">
      <c r="A4094" s="4" t="s">
        <v>9722</v>
      </c>
      <c r="B4094" s="5" t="s">
        <v>9723</v>
      </c>
      <c r="C4094" s="5" t="s">
        <v>120</v>
      </c>
      <c r="D4094" s="5" t="s">
        <v>121</v>
      </c>
      <c r="E4094" s="5" t="s">
        <v>33</v>
      </c>
      <c r="F4094" s="9">
        <v>48</v>
      </c>
      <c r="G4094" s="9" t="s">
        <v>122</v>
      </c>
      <c r="H4094" s="5" t="s">
        <v>20</v>
      </c>
      <c r="I4094" s="5" t="s">
        <v>9724</v>
      </c>
      <c r="J4094" s="12" t="str">
        <f>HYPERLINK("https://www.boe.es/gazeta/dias/1804/06/15/pdfs/GMD-C-1804-48.pdf#page=3","Abrir facsímil")</f>
        <v>Abrir facsímil</v>
      </c>
      <c r="K4094" s="15" t="s">
        <v>22</v>
      </c>
    </row>
    <row r="4095" spans="1:11" ht="42" customHeight="1">
      <c r="A4095" s="4" t="s">
        <v>9725</v>
      </c>
      <c r="B4095" s="5" t="s">
        <v>9726</v>
      </c>
      <c r="C4095" s="5" t="s">
        <v>65</v>
      </c>
      <c r="D4095" s="5" t="s">
        <v>66</v>
      </c>
      <c r="E4095" s="5" t="s">
        <v>623</v>
      </c>
      <c r="F4095" s="9">
        <v>51</v>
      </c>
      <c r="G4095" s="9">
        <v>565</v>
      </c>
      <c r="H4095" s="5" t="s">
        <v>20</v>
      </c>
      <c r="I4095" s="5" t="s">
        <v>9727</v>
      </c>
      <c r="J4095" s="12" t="str">
        <f>HYPERLINK("https://www.boe.es/gazeta/dias/1804/06/26/pdfs/GMD-1804-51.pdf#page=11","Abrir facsímil")</f>
        <v>Abrir facsímil</v>
      </c>
      <c r="K4095" s="15" t="s">
        <v>22</v>
      </c>
    </row>
    <row r="4096" spans="1:11" ht="42" customHeight="1">
      <c r="A4096" s="4" t="s">
        <v>9728</v>
      </c>
      <c r="B4096" s="5" t="s">
        <v>9728</v>
      </c>
      <c r="C4096" s="5" t="s">
        <v>57</v>
      </c>
      <c r="D4096" s="5" t="s">
        <v>58</v>
      </c>
      <c r="E4096" s="5" t="s">
        <v>264</v>
      </c>
      <c r="F4096" s="9">
        <v>49</v>
      </c>
      <c r="G4096" s="9">
        <v>540</v>
      </c>
      <c r="H4096" s="5" t="s">
        <v>20</v>
      </c>
      <c r="I4096" s="5" t="s">
        <v>9729</v>
      </c>
      <c r="J4096" s="12" t="str">
        <f>HYPERLINK("https://www.boe.es/gazeta/dias/1804/06/19/pdfs/GMD-1804-49.pdf#page=2","Abrir facsímil")</f>
        <v>Abrir facsímil</v>
      </c>
      <c r="K4096" s="15" t="s">
        <v>22</v>
      </c>
    </row>
    <row r="4097" spans="1:11" ht="42" customHeight="1">
      <c r="A4097" s="4" t="s">
        <v>9730</v>
      </c>
      <c r="B4097" s="5" t="s">
        <v>9731</v>
      </c>
      <c r="C4097" s="5" t="s">
        <v>27</v>
      </c>
      <c r="D4097" s="5" t="s">
        <v>28</v>
      </c>
      <c r="E4097" s="5" t="s">
        <v>421</v>
      </c>
      <c r="F4097" s="9">
        <v>47</v>
      </c>
      <c r="G4097" s="9">
        <v>528</v>
      </c>
      <c r="H4097" s="5" t="s">
        <v>20</v>
      </c>
      <c r="I4097" s="5" t="s">
        <v>9732</v>
      </c>
      <c r="J4097" s="12" t="str">
        <f>HYPERLINK("https://www.boe.es/gazeta/dias/1804/06/12/pdfs/GMD-1804-47.pdf#page=10","Abrir facsímil")</f>
        <v>Abrir facsímil</v>
      </c>
      <c r="K4097" s="15" t="s">
        <v>22</v>
      </c>
    </row>
    <row r="4098" spans="1:11" ht="42" customHeight="1">
      <c r="A4098" s="4" t="s">
        <v>9733</v>
      </c>
      <c r="B4098" s="5" t="s">
        <v>9734</v>
      </c>
      <c r="C4098" s="5" t="s">
        <v>198</v>
      </c>
      <c r="D4098" s="5" t="s">
        <v>66</v>
      </c>
      <c r="E4098" s="5" t="s">
        <v>23</v>
      </c>
      <c r="F4098" s="9">
        <v>91</v>
      </c>
      <c r="G4098" s="9">
        <v>1009</v>
      </c>
      <c r="H4098" s="5" t="s">
        <v>20</v>
      </c>
      <c r="I4098" s="5" t="s">
        <v>9735</v>
      </c>
      <c r="J4098" s="12" t="str">
        <f>HYPERLINK("https://www.boe.es/gazeta/dias/1804/11/13/pdfs/GMD-1804-91.pdf#page=9","Abrir facsímil")</f>
        <v>Abrir facsímil</v>
      </c>
      <c r="K4098" s="15" t="s">
        <v>22</v>
      </c>
    </row>
    <row r="4099" spans="1:11" ht="42" customHeight="1">
      <c r="A4099" s="4" t="s">
        <v>9736</v>
      </c>
      <c r="B4099" s="5" t="s">
        <v>9736</v>
      </c>
      <c r="C4099" s="5" t="s">
        <v>27</v>
      </c>
      <c r="D4099" s="5" t="s">
        <v>28</v>
      </c>
      <c r="E4099" s="5" t="s">
        <v>140</v>
      </c>
      <c r="F4099" s="9">
        <v>39</v>
      </c>
      <c r="G4099" s="9">
        <v>428</v>
      </c>
      <c r="H4099" s="5" t="s">
        <v>20</v>
      </c>
      <c r="I4099" s="5" t="s">
        <v>9737</v>
      </c>
      <c r="J4099" s="12" t="str">
        <f>HYPERLINK("https://www.boe.es/gazeta/dias/1804/05/15/pdfs/GMD-1804-39.pdf#page=2","Abrir facsímil")</f>
        <v>Abrir facsímil</v>
      </c>
      <c r="K4099" s="15" t="s">
        <v>22</v>
      </c>
    </row>
    <row r="4100" spans="1:11" ht="42" customHeight="1">
      <c r="A4100" s="4" t="s">
        <v>9738</v>
      </c>
      <c r="B4100" s="5" t="s">
        <v>9739</v>
      </c>
      <c r="C4100" s="5" t="s">
        <v>17</v>
      </c>
      <c r="D4100" s="5" t="s">
        <v>18</v>
      </c>
      <c r="E4100" s="5" t="s">
        <v>33</v>
      </c>
      <c r="F4100" s="9">
        <v>48</v>
      </c>
      <c r="G4100" s="9">
        <v>536</v>
      </c>
      <c r="H4100" s="5" t="s">
        <v>20</v>
      </c>
      <c r="I4100" s="5" t="s">
        <v>9740</v>
      </c>
      <c r="J4100" s="12" t="str">
        <f>HYPERLINK("https://www.boe.es/gazeta/dias/1804/06/15/pdfs/GMD-1804-48.pdf#page=6","Abrir facsímil")</f>
        <v>Abrir facsímil</v>
      </c>
      <c r="K4100" s="15" t="s">
        <v>22</v>
      </c>
    </row>
    <row r="4101" spans="1:11" ht="42" customHeight="1">
      <c r="A4101" s="4" t="s">
        <v>9741</v>
      </c>
      <c r="B4101" s="5" t="s">
        <v>9742</v>
      </c>
      <c r="C4101" s="5" t="s">
        <v>85</v>
      </c>
      <c r="D4101" s="5" t="s">
        <v>86</v>
      </c>
      <c r="E4101" s="5" t="s">
        <v>1179</v>
      </c>
      <c r="F4101" s="9">
        <v>43</v>
      </c>
      <c r="G4101" s="9">
        <v>482</v>
      </c>
      <c r="H4101" s="5" t="s">
        <v>20</v>
      </c>
      <c r="I4101" s="5" t="s">
        <v>9743</v>
      </c>
      <c r="J4101" s="12" t="str">
        <f>HYPERLINK("https://www.boe.es/gazeta/dias/1804/05/29/pdfs/GMD-1804-43.pdf#page=8","Abrir facsímil")</f>
        <v>Abrir facsímil</v>
      </c>
      <c r="K4101" s="15" t="s">
        <v>22</v>
      </c>
    </row>
    <row r="4102" spans="1:11" ht="42" customHeight="1">
      <c r="A4102" s="4" t="s">
        <v>9744</v>
      </c>
      <c r="B4102" s="5" t="s">
        <v>9745</v>
      </c>
      <c r="C4102" s="5" t="s">
        <v>198</v>
      </c>
      <c r="D4102" s="5" t="s">
        <v>66</v>
      </c>
      <c r="E4102" s="5" t="s">
        <v>398</v>
      </c>
      <c r="F4102" s="9">
        <v>22</v>
      </c>
      <c r="G4102" s="9">
        <v>245</v>
      </c>
      <c r="H4102" s="5" t="s">
        <v>20</v>
      </c>
      <c r="I4102" s="5" t="s">
        <v>9746</v>
      </c>
      <c r="J4102" s="12" t="str">
        <f>HYPERLINK("https://www.boe.es/gazeta/dias/1804/03/16/pdfs/GMD-1804-22.pdf#page=9","Abrir facsímil")</f>
        <v>Abrir facsímil</v>
      </c>
      <c r="K4102" s="15" t="s">
        <v>22</v>
      </c>
    </row>
    <row r="4103" spans="1:11" ht="42" customHeight="1">
      <c r="A4103" s="4" t="s">
        <v>9747</v>
      </c>
      <c r="B4103" s="5" t="s">
        <v>9748</v>
      </c>
      <c r="C4103" s="5" t="s">
        <v>17</v>
      </c>
      <c r="D4103" s="5" t="s">
        <v>18</v>
      </c>
      <c r="E4103" s="5" t="s">
        <v>71</v>
      </c>
      <c r="F4103" s="9">
        <v>99</v>
      </c>
      <c r="G4103" s="9">
        <v>1106</v>
      </c>
      <c r="H4103" s="5" t="s">
        <v>20</v>
      </c>
      <c r="I4103" s="5" t="s">
        <v>9749</v>
      </c>
      <c r="J4103" s="12" t="str">
        <f>HYPERLINK("https://www.boe.es/gazeta/dias/1804/12/11/pdfs/GMD-1804-99.pdf#page=6","Abrir facsímil")</f>
        <v>Abrir facsímil</v>
      </c>
      <c r="K4103" s="15" t="s">
        <v>22</v>
      </c>
    </row>
    <row r="4104" spans="1:11" ht="42" customHeight="1">
      <c r="A4104" s="4" t="s">
        <v>9750</v>
      </c>
      <c r="B4104" s="5" t="s">
        <v>9750</v>
      </c>
      <c r="C4104" s="5" t="s">
        <v>198</v>
      </c>
      <c r="D4104" s="5" t="s">
        <v>66</v>
      </c>
      <c r="E4104" s="5" t="s">
        <v>1020</v>
      </c>
      <c r="F4104" s="9">
        <v>103</v>
      </c>
      <c r="G4104" s="9">
        <v>1147</v>
      </c>
      <c r="H4104" s="5" t="s">
        <v>20</v>
      </c>
      <c r="I4104" s="5" t="s">
        <v>9751</v>
      </c>
      <c r="J4104" s="12" t="str">
        <f>HYPERLINK("https://www.boe.es/gazeta/dias/1804/12/25/pdfs/GMD-1804-103.pdf#page=7","Abrir facsímil")</f>
        <v>Abrir facsímil</v>
      </c>
      <c r="K4104" s="15" t="s">
        <v>22</v>
      </c>
    </row>
    <row r="4105" spans="1:11" ht="42" customHeight="1">
      <c r="A4105" s="4" t="s">
        <v>9752</v>
      </c>
      <c r="B4105" s="5" t="s">
        <v>9752</v>
      </c>
      <c r="C4105" s="5" t="s">
        <v>17</v>
      </c>
      <c r="D4105" s="5" t="s">
        <v>18</v>
      </c>
      <c r="E4105" s="5" t="s">
        <v>29</v>
      </c>
      <c r="F4105" s="9">
        <v>88</v>
      </c>
      <c r="G4105" s="9">
        <v>978</v>
      </c>
      <c r="H4105" s="5" t="s">
        <v>20</v>
      </c>
      <c r="I4105" s="5" t="s">
        <v>9753</v>
      </c>
      <c r="J4105" s="12" t="str">
        <f>HYPERLINK("https://www.boe.es/gazeta/dias/1804/11/02/pdfs/GMD-1804-88.pdf#page=10","Abrir facsímil")</f>
        <v>Abrir facsímil</v>
      </c>
      <c r="K4105" s="15" t="s">
        <v>22</v>
      </c>
    </row>
    <row r="4106" spans="1:11" ht="42" customHeight="1">
      <c r="A4106" s="4" t="s">
        <v>9754</v>
      </c>
      <c r="B4106" s="5" t="s">
        <v>9755</v>
      </c>
      <c r="C4106" s="5" t="s">
        <v>27</v>
      </c>
      <c r="D4106" s="5" t="s">
        <v>28</v>
      </c>
      <c r="E4106" s="5" t="s">
        <v>699</v>
      </c>
      <c r="F4106" s="9">
        <v>2</v>
      </c>
      <c r="G4106" s="9">
        <v>18</v>
      </c>
      <c r="H4106" s="5" t="s">
        <v>20</v>
      </c>
      <c r="I4106" s="5" t="s">
        <v>9756</v>
      </c>
      <c r="J4106" s="12" t="str">
        <f>HYPERLINK("https://www.boe.es/gazeta/dias/1804/01/06/pdfs/GMD-1804-2.pdf#page=6","Abrir facsímil")</f>
        <v>Abrir facsímil</v>
      </c>
      <c r="K4106" s="15" t="s">
        <v>22</v>
      </c>
    </row>
    <row r="4107" spans="1:11" ht="42" customHeight="1">
      <c r="A4107" s="4" t="s">
        <v>9757</v>
      </c>
      <c r="B4107" s="5" t="s">
        <v>9758</v>
      </c>
      <c r="C4107" s="5" t="s">
        <v>17</v>
      </c>
      <c r="D4107" s="5" t="s">
        <v>18</v>
      </c>
      <c r="E4107" s="5" t="s">
        <v>515</v>
      </c>
      <c r="F4107" s="9">
        <v>102</v>
      </c>
      <c r="G4107" s="9">
        <v>1138</v>
      </c>
      <c r="H4107" s="5" t="s">
        <v>20</v>
      </c>
      <c r="I4107" s="5" t="s">
        <v>9759</v>
      </c>
      <c r="J4107" s="12" t="str">
        <f>HYPERLINK("https://www.boe.es/gazeta/dias/1804/12/21/pdfs/GMD-1804-102.pdf#page=6","Abrir facsímil")</f>
        <v>Abrir facsímil</v>
      </c>
      <c r="K4107" s="15" t="s">
        <v>22</v>
      </c>
    </row>
    <row r="4108" spans="1:11" ht="42" customHeight="1">
      <c r="A4108" s="4" t="s">
        <v>9760</v>
      </c>
      <c r="B4108" s="5" t="s">
        <v>9761</v>
      </c>
      <c r="C4108" s="5" t="s">
        <v>17</v>
      </c>
      <c r="D4108" s="5" t="s">
        <v>18</v>
      </c>
      <c r="E4108" s="5" t="s">
        <v>421</v>
      </c>
      <c r="F4108" s="9">
        <v>47</v>
      </c>
      <c r="G4108" s="9">
        <v>528</v>
      </c>
      <c r="H4108" s="5" t="s">
        <v>20</v>
      </c>
      <c r="I4108" s="5" t="s">
        <v>9762</v>
      </c>
      <c r="J4108" s="12" t="str">
        <f>HYPERLINK("https://www.boe.es/gazeta/dias/1804/06/12/pdfs/GMD-1804-47.pdf#page=10","Abrir facsímil")</f>
        <v>Abrir facsímil</v>
      </c>
      <c r="K4108" s="15" t="s">
        <v>22</v>
      </c>
    </row>
    <row r="4109" spans="1:11" ht="42" customHeight="1">
      <c r="A4109" s="4" t="s">
        <v>9763</v>
      </c>
      <c r="B4109" s="5" t="s">
        <v>9764</v>
      </c>
      <c r="C4109" s="5" t="s">
        <v>17</v>
      </c>
      <c r="D4109" s="5" t="s">
        <v>18</v>
      </c>
      <c r="E4109" s="5" t="s">
        <v>37</v>
      </c>
      <c r="F4109" s="9">
        <v>29</v>
      </c>
      <c r="G4109" s="9">
        <v>318</v>
      </c>
      <c r="H4109" s="5" t="s">
        <v>20</v>
      </c>
      <c r="I4109" s="5" t="s">
        <v>9765</v>
      </c>
      <c r="J4109" s="12" t="str">
        <f>HYPERLINK("https://www.boe.es/gazeta/dias/1804/04/10/pdfs/GMD-1804-29.pdf#page=8","Abrir facsímil")</f>
        <v>Abrir facsímil</v>
      </c>
      <c r="K4109" s="15" t="s">
        <v>22</v>
      </c>
    </row>
    <row r="4110" spans="1:11" ht="42" customHeight="1">
      <c r="A4110" s="4" t="s">
        <v>9766</v>
      </c>
      <c r="B4110" s="5" t="s">
        <v>9767</v>
      </c>
      <c r="C4110" s="5" t="s">
        <v>17</v>
      </c>
      <c r="D4110" s="5" t="s">
        <v>18</v>
      </c>
      <c r="E4110" s="5" t="s">
        <v>547</v>
      </c>
      <c r="F4110" s="9">
        <v>68</v>
      </c>
      <c r="G4110" s="9">
        <v>763</v>
      </c>
      <c r="H4110" s="5" t="s">
        <v>20</v>
      </c>
      <c r="I4110" s="5" t="s">
        <v>9768</v>
      </c>
      <c r="J4110" s="12" t="str">
        <f>HYPERLINK("https://www.boe.es/gazeta/dias/1804/08/24/pdfs/GMD-1804-68.pdf#page=9","Abrir facsímil")</f>
        <v>Abrir facsímil</v>
      </c>
      <c r="K4110" s="15" t="s">
        <v>22</v>
      </c>
    </row>
    <row r="4111" spans="1:11" ht="42" customHeight="1">
      <c r="A4111" s="4" t="s">
        <v>9769</v>
      </c>
      <c r="B4111" s="5" t="s">
        <v>9770</v>
      </c>
      <c r="C4111" s="5" t="s">
        <v>17</v>
      </c>
      <c r="D4111" s="5" t="s">
        <v>18</v>
      </c>
      <c r="E4111" s="5" t="s">
        <v>71</v>
      </c>
      <c r="F4111" s="9">
        <v>99</v>
      </c>
      <c r="G4111" s="9">
        <v>1107</v>
      </c>
      <c r="H4111" s="5" t="s">
        <v>20</v>
      </c>
      <c r="I4111" s="5" t="s">
        <v>9771</v>
      </c>
      <c r="J4111" s="12" t="str">
        <f>HYPERLINK("https://www.boe.es/gazeta/dias/1804/12/11/pdfs/GMD-1804-99.pdf#page=7","Abrir facsímil")</f>
        <v>Abrir facsímil</v>
      </c>
      <c r="K4111" s="15" t="s">
        <v>22</v>
      </c>
    </row>
    <row r="4112" spans="1:11" ht="42" customHeight="1">
      <c r="A4112" s="4" t="s">
        <v>9772</v>
      </c>
      <c r="B4112" s="5" t="s">
        <v>9772</v>
      </c>
      <c r="C4112" s="5" t="s">
        <v>27</v>
      </c>
      <c r="D4112" s="5" t="s">
        <v>28</v>
      </c>
      <c r="E4112" s="5" t="s">
        <v>699</v>
      </c>
      <c r="F4112" s="9">
        <v>2</v>
      </c>
      <c r="G4112" s="9">
        <v>18</v>
      </c>
      <c r="H4112" s="5" t="s">
        <v>20</v>
      </c>
      <c r="I4112" s="5" t="s">
        <v>9773</v>
      </c>
      <c r="J4112" s="12" t="str">
        <f>HYPERLINK("https://www.boe.es/gazeta/dias/1804/01/06/pdfs/GMD-1804-2.pdf#page=6","Abrir facsímil")</f>
        <v>Abrir facsímil</v>
      </c>
      <c r="K4112" s="15" t="s">
        <v>22</v>
      </c>
    </row>
    <row r="4113" spans="1:11" ht="42" customHeight="1">
      <c r="A4113" s="4" t="s">
        <v>9774</v>
      </c>
      <c r="B4113" s="5" t="s">
        <v>9775</v>
      </c>
      <c r="C4113" s="5" t="s">
        <v>27</v>
      </c>
      <c r="D4113" s="5" t="s">
        <v>28</v>
      </c>
      <c r="E4113" s="5" t="s">
        <v>709</v>
      </c>
      <c r="F4113" s="9">
        <v>82</v>
      </c>
      <c r="G4113" s="9">
        <v>905</v>
      </c>
      <c r="H4113" s="5" t="s">
        <v>20</v>
      </c>
      <c r="I4113" s="5" t="s">
        <v>9776</v>
      </c>
      <c r="J4113" s="12" t="str">
        <f>HYPERLINK("https://www.boe.es/gazeta/dias/1804/10/12/pdfs/GMD-1804-82.pdf#page=7","Abrir facsímil")</f>
        <v>Abrir facsímil</v>
      </c>
      <c r="K4113" s="15" t="s">
        <v>22</v>
      </c>
    </row>
    <row r="4114" spans="1:11" ht="42" customHeight="1">
      <c r="A4114" s="4" t="s">
        <v>9777</v>
      </c>
      <c r="B4114" s="5" t="s">
        <v>9777</v>
      </c>
      <c r="C4114" s="5" t="s">
        <v>27</v>
      </c>
      <c r="D4114" s="5" t="s">
        <v>28</v>
      </c>
      <c r="E4114" s="5" t="s">
        <v>1095</v>
      </c>
      <c r="F4114" s="9">
        <v>73</v>
      </c>
      <c r="G4114" s="9">
        <v>819</v>
      </c>
      <c r="H4114" s="5" t="s">
        <v>20</v>
      </c>
      <c r="I4114" s="5" t="s">
        <v>9778</v>
      </c>
      <c r="J4114" s="12" t="str">
        <f>HYPERLINK("https://www.boe.es/gazeta/dias/1804/09/11/pdfs/GMD-1804-73.pdf#page=9","Abrir facsímil")</f>
        <v>Abrir facsímil</v>
      </c>
      <c r="K4114" s="15" t="s">
        <v>22</v>
      </c>
    </row>
    <row r="4115" spans="1:11" ht="42" customHeight="1">
      <c r="A4115" s="4" t="s">
        <v>9779</v>
      </c>
      <c r="B4115" s="5" t="s">
        <v>9780</v>
      </c>
      <c r="C4115" s="5" t="s">
        <v>198</v>
      </c>
      <c r="D4115" s="5" t="s">
        <v>66</v>
      </c>
      <c r="E4115" s="5" t="s">
        <v>466</v>
      </c>
      <c r="F4115" s="9">
        <v>76</v>
      </c>
      <c r="G4115" s="9">
        <v>845</v>
      </c>
      <c r="H4115" s="5" t="s">
        <v>20</v>
      </c>
      <c r="I4115" s="5" t="s">
        <v>9781</v>
      </c>
      <c r="J4115" s="12" t="str">
        <f>HYPERLINK("https://www.boe.es/gazeta/dias/1804/09/21/pdfs/GMD-1804-76.pdf#page=3","Abrir facsímil")</f>
        <v>Abrir facsímil</v>
      </c>
      <c r="K4115" s="15" t="s">
        <v>22</v>
      </c>
    </row>
    <row r="4116" spans="1:11" ht="42" customHeight="1">
      <c r="A4116" s="4" t="s">
        <v>9782</v>
      </c>
      <c r="B4116" s="5" t="s">
        <v>9783</v>
      </c>
      <c r="C4116" s="5" t="s">
        <v>17</v>
      </c>
      <c r="D4116" s="5" t="s">
        <v>18</v>
      </c>
      <c r="E4116" s="5" t="s">
        <v>71</v>
      </c>
      <c r="F4116" s="9">
        <v>99</v>
      </c>
      <c r="G4116" s="9">
        <v>1106</v>
      </c>
      <c r="H4116" s="5" t="s">
        <v>20</v>
      </c>
      <c r="I4116" s="5" t="s">
        <v>9784</v>
      </c>
      <c r="J4116" s="12" t="str">
        <f>HYPERLINK("https://www.boe.es/gazeta/dias/1804/12/11/pdfs/GMD-1804-99.pdf#page=6","Abrir facsímil")</f>
        <v>Abrir facsímil</v>
      </c>
      <c r="K4116" s="15" t="s">
        <v>22</v>
      </c>
    </row>
    <row r="4117" spans="1:11" ht="42" customHeight="1">
      <c r="A4117" s="4" t="s">
        <v>9785</v>
      </c>
      <c r="B4117" s="5" t="s">
        <v>9786</v>
      </c>
      <c r="C4117" s="5" t="s">
        <v>17</v>
      </c>
      <c r="D4117" s="5" t="s">
        <v>18</v>
      </c>
      <c r="E4117" s="5" t="s">
        <v>421</v>
      </c>
      <c r="F4117" s="9">
        <v>47</v>
      </c>
      <c r="G4117" s="9">
        <v>528</v>
      </c>
      <c r="H4117" s="5" t="s">
        <v>20</v>
      </c>
      <c r="I4117" s="5" t="s">
        <v>9787</v>
      </c>
      <c r="J4117" s="12" t="str">
        <f>HYPERLINK("https://www.boe.es/gazeta/dias/1804/06/12/pdfs/GMD-1804-47.pdf#page=10","Abrir facsímil")</f>
        <v>Abrir facsímil</v>
      </c>
      <c r="K4117" s="15" t="s">
        <v>22</v>
      </c>
    </row>
    <row r="4118" spans="1:11" ht="42" customHeight="1">
      <c r="A4118" s="4" t="s">
        <v>9788</v>
      </c>
      <c r="B4118" s="5" t="s">
        <v>9789</v>
      </c>
      <c r="C4118" s="5" t="s">
        <v>17</v>
      </c>
      <c r="D4118" s="5" t="s">
        <v>18</v>
      </c>
      <c r="E4118" s="5" t="s">
        <v>704</v>
      </c>
      <c r="F4118" s="9">
        <v>36</v>
      </c>
      <c r="G4118" s="9">
        <v>400</v>
      </c>
      <c r="H4118" s="5" t="s">
        <v>20</v>
      </c>
      <c r="I4118" s="5" t="s">
        <v>9790</v>
      </c>
      <c r="J4118" s="12" t="str">
        <f>HYPERLINK("https://www.boe.es/gazeta/dias/1804/05/04/pdfs/GMD-1804-36.pdf#page=10","Abrir facsímil")</f>
        <v>Abrir facsímil</v>
      </c>
      <c r="K4118" s="15" t="s">
        <v>22</v>
      </c>
    </row>
    <row r="4119" spans="1:11" ht="42" customHeight="1">
      <c r="A4119" s="4" t="s">
        <v>9791</v>
      </c>
      <c r="B4119" s="5" t="s">
        <v>9792</v>
      </c>
      <c r="C4119" s="5" t="s">
        <v>17</v>
      </c>
      <c r="D4119" s="5" t="s">
        <v>18</v>
      </c>
      <c r="E4119" s="5" t="s">
        <v>350</v>
      </c>
      <c r="F4119" s="9">
        <v>19</v>
      </c>
      <c r="G4119" s="9">
        <v>209</v>
      </c>
      <c r="H4119" s="5" t="s">
        <v>20</v>
      </c>
      <c r="I4119" s="5" t="s">
        <v>9793</v>
      </c>
      <c r="J4119" s="12" t="str">
        <f>HYPERLINK("https://www.boe.es/gazeta/dias/1804/03/06/pdfs/GMD-1804-19.pdf#page=9","Abrir facsímil")</f>
        <v>Abrir facsímil</v>
      </c>
      <c r="K4119" s="15" t="s">
        <v>22</v>
      </c>
    </row>
    <row r="4120" spans="1:11" ht="42" customHeight="1">
      <c r="A4120" s="4" t="s">
        <v>9794</v>
      </c>
      <c r="B4120" s="5" t="s">
        <v>9795</v>
      </c>
      <c r="C4120" s="5" t="s">
        <v>27</v>
      </c>
      <c r="D4120" s="5" t="s">
        <v>28</v>
      </c>
      <c r="E4120" s="5" t="s">
        <v>33</v>
      </c>
      <c r="F4120" s="9">
        <v>48</v>
      </c>
      <c r="G4120" s="9">
        <v>537</v>
      </c>
      <c r="H4120" s="5" t="s">
        <v>20</v>
      </c>
      <c r="I4120" s="5" t="s">
        <v>9796</v>
      </c>
      <c r="J4120" s="12" t="str">
        <f>HYPERLINK("https://www.boe.es/gazeta/dias/1804/06/15/pdfs/GMD-1804-48.pdf#page=7","Abrir facsímil")</f>
        <v>Abrir facsímil</v>
      </c>
      <c r="K4120" s="15" t="s">
        <v>22</v>
      </c>
    </row>
    <row r="4121" spans="1:11" ht="42" customHeight="1">
      <c r="A4121" s="4" t="s">
        <v>9797</v>
      </c>
      <c r="B4121" s="5" t="s">
        <v>9798</v>
      </c>
      <c r="C4121" s="5" t="s">
        <v>17</v>
      </c>
      <c r="D4121" s="5" t="s">
        <v>18</v>
      </c>
      <c r="E4121" s="5" t="s">
        <v>109</v>
      </c>
      <c r="F4121" s="9">
        <v>35</v>
      </c>
      <c r="G4121" s="9">
        <v>387</v>
      </c>
      <c r="H4121" s="5" t="s">
        <v>20</v>
      </c>
      <c r="I4121" s="5" t="s">
        <v>9799</v>
      </c>
      <c r="J4121" s="12" t="str">
        <f>HYPERLINK("https://www.boe.es/gazeta/dias/1804/05/01/pdfs/GMD-1804-35.pdf#page=9","Abrir facsímil")</f>
        <v>Abrir facsímil</v>
      </c>
      <c r="K4121" s="15" t="s">
        <v>22</v>
      </c>
    </row>
    <row r="4122" spans="1:11" ht="42" customHeight="1">
      <c r="A4122" s="4" t="s">
        <v>9800</v>
      </c>
      <c r="B4122" s="5" t="s">
        <v>9801</v>
      </c>
      <c r="C4122" s="5" t="s">
        <v>17</v>
      </c>
      <c r="D4122" s="5" t="s">
        <v>18</v>
      </c>
      <c r="E4122" s="5" t="s">
        <v>71</v>
      </c>
      <c r="F4122" s="9">
        <v>99</v>
      </c>
      <c r="G4122" s="9">
        <v>1106</v>
      </c>
      <c r="H4122" s="5" t="s">
        <v>20</v>
      </c>
      <c r="I4122" s="5" t="s">
        <v>9802</v>
      </c>
      <c r="J4122" s="12" t="str">
        <f>HYPERLINK("https://www.boe.es/gazeta/dias/1804/12/11/pdfs/GMD-1804-99.pdf#page=6","Abrir facsímil")</f>
        <v>Abrir facsímil</v>
      </c>
      <c r="K4122" s="15" t="s">
        <v>22</v>
      </c>
    </row>
    <row r="4123" spans="1:11" ht="42" customHeight="1">
      <c r="A4123" s="4" t="s">
        <v>9803</v>
      </c>
      <c r="B4123" s="5" t="s">
        <v>9804</v>
      </c>
      <c r="C4123" s="5" t="s">
        <v>85</v>
      </c>
      <c r="D4123" s="5" t="s">
        <v>86</v>
      </c>
      <c r="E4123" s="5" t="s">
        <v>147</v>
      </c>
      <c r="F4123" s="9">
        <v>77</v>
      </c>
      <c r="G4123" s="9">
        <v>860</v>
      </c>
      <c r="H4123" s="5" t="s">
        <v>20</v>
      </c>
      <c r="I4123" s="5" t="s">
        <v>9805</v>
      </c>
      <c r="J4123" s="12" t="str">
        <f>HYPERLINK("https://www.boe.es/gazeta/dias/1804/09/25/pdfs/GMD-1804-77.pdf#page=10","Abrir facsímil")</f>
        <v>Abrir facsímil</v>
      </c>
      <c r="K4123" s="15" t="s">
        <v>22</v>
      </c>
    </row>
    <row r="4124" spans="1:11" ht="42" customHeight="1">
      <c r="A4124" s="4" t="s">
        <v>9806</v>
      </c>
      <c r="B4124" s="5" t="s">
        <v>9807</v>
      </c>
      <c r="C4124" s="5" t="s">
        <v>57</v>
      </c>
      <c r="D4124" s="5" t="s">
        <v>58</v>
      </c>
      <c r="E4124" s="5" t="s">
        <v>637</v>
      </c>
      <c r="F4124" s="9">
        <v>74</v>
      </c>
      <c r="G4124" s="9">
        <v>825</v>
      </c>
      <c r="H4124" s="5" t="s">
        <v>20</v>
      </c>
      <c r="I4124" s="5" t="s">
        <v>9808</v>
      </c>
      <c r="J4124" s="12" t="str">
        <f>HYPERLINK("https://www.boe.es/gazeta/dias/1804/09/14/pdfs/GMD-1804-74.pdf#page=3","Abrir facsímil")</f>
        <v>Abrir facsímil</v>
      </c>
      <c r="K4124" s="15" t="s">
        <v>22</v>
      </c>
    </row>
    <row r="4125" spans="1:11" ht="42" customHeight="1">
      <c r="A4125" s="4" t="s">
        <v>9809</v>
      </c>
      <c r="B4125" s="5" t="s">
        <v>9810</v>
      </c>
      <c r="C4125" s="5" t="s">
        <v>27</v>
      </c>
      <c r="D4125" s="5" t="s">
        <v>28</v>
      </c>
      <c r="E4125" s="5" t="s">
        <v>212</v>
      </c>
      <c r="F4125" s="9">
        <v>89</v>
      </c>
      <c r="G4125" s="9">
        <v>990</v>
      </c>
      <c r="H4125" s="5" t="s">
        <v>20</v>
      </c>
      <c r="I4125" s="5" t="s">
        <v>9811</v>
      </c>
      <c r="J4125" s="12" t="str">
        <f>HYPERLINK("https://www.boe.es/gazeta/dias/1804/11/06/pdfs/GMD-1804-89.pdf#page=10","Abrir facsímil")</f>
        <v>Abrir facsímil</v>
      </c>
      <c r="K4125" s="15" t="s">
        <v>22</v>
      </c>
    </row>
    <row r="4126" spans="1:11" ht="42" customHeight="1">
      <c r="A4126" s="4" t="s">
        <v>9812</v>
      </c>
      <c r="B4126" s="5" t="s">
        <v>9812</v>
      </c>
      <c r="C4126" s="5" t="s">
        <v>17</v>
      </c>
      <c r="D4126" s="5" t="s">
        <v>18</v>
      </c>
      <c r="E4126" s="5" t="s">
        <v>666</v>
      </c>
      <c r="F4126" s="9">
        <v>57</v>
      </c>
      <c r="G4126" s="9">
        <v>631</v>
      </c>
      <c r="H4126" s="5" t="s">
        <v>20</v>
      </c>
      <c r="I4126" s="5" t="s">
        <v>9813</v>
      </c>
      <c r="J4126" s="12" t="str">
        <f>HYPERLINK("https://www.boe.es/gazeta/dias/1804/07/17/pdfs/GMD-1804-57.pdf#page=9","Abrir facsímil")</f>
        <v>Abrir facsímil</v>
      </c>
      <c r="K4126" s="15" t="s">
        <v>22</v>
      </c>
    </row>
    <row r="4127" spans="1:11" ht="42" customHeight="1">
      <c r="A4127" s="4" t="s">
        <v>9812</v>
      </c>
      <c r="B4127" s="5" t="s">
        <v>9812</v>
      </c>
      <c r="C4127" s="5" t="s">
        <v>57</v>
      </c>
      <c r="D4127" s="5" t="s">
        <v>58</v>
      </c>
      <c r="E4127" s="5" t="s">
        <v>19</v>
      </c>
      <c r="F4127" s="9">
        <v>60</v>
      </c>
      <c r="G4127" s="9">
        <v>663</v>
      </c>
      <c r="H4127" s="5" t="s">
        <v>20</v>
      </c>
      <c r="I4127" s="5" t="s">
        <v>9814</v>
      </c>
      <c r="J4127" s="12" t="str">
        <f>HYPERLINK("https://www.boe.es/gazeta/dias/1804/07/27/pdfs/GMD-1804-60.pdf#page=5","Abrir facsímil")</f>
        <v>Abrir facsímil</v>
      </c>
      <c r="K4127" s="15" t="s">
        <v>22</v>
      </c>
    </row>
    <row r="4128" spans="1:11" ht="42" customHeight="1">
      <c r="A4128" s="4" t="s">
        <v>9815</v>
      </c>
      <c r="B4128" s="5" t="s">
        <v>9815</v>
      </c>
      <c r="C4128" s="5" t="s">
        <v>198</v>
      </c>
      <c r="D4128" s="5" t="s">
        <v>66</v>
      </c>
      <c r="E4128" s="5" t="s">
        <v>542</v>
      </c>
      <c r="F4128" s="9">
        <v>54</v>
      </c>
      <c r="G4128" s="9">
        <v>602</v>
      </c>
      <c r="H4128" s="5" t="s">
        <v>20</v>
      </c>
      <c r="I4128" s="5" t="s">
        <v>9816</v>
      </c>
      <c r="J4128" s="12" t="str">
        <f>HYPERLINK("https://www.boe.es/gazeta/dias/1804/07/06/pdfs/GMD-1804-54.pdf#page=8","Abrir facsímil")</f>
        <v>Abrir facsímil</v>
      </c>
      <c r="K4128" s="15" t="s">
        <v>22</v>
      </c>
    </row>
    <row r="4129" spans="1:11" ht="42" customHeight="1">
      <c r="A4129" s="4" t="s">
        <v>9817</v>
      </c>
      <c r="B4129" s="5" t="s">
        <v>9818</v>
      </c>
      <c r="C4129" s="5" t="s">
        <v>27</v>
      </c>
      <c r="D4129" s="5" t="s">
        <v>28</v>
      </c>
      <c r="E4129" s="5" t="s">
        <v>163</v>
      </c>
      <c r="F4129" s="9">
        <v>70</v>
      </c>
      <c r="G4129" s="9">
        <v>784</v>
      </c>
      <c r="H4129" s="5" t="s">
        <v>20</v>
      </c>
      <c r="I4129" s="5" t="s">
        <v>9819</v>
      </c>
      <c r="J4129" s="12" t="str">
        <f>HYPERLINK("https://www.boe.es/gazeta/dias/1804/08/31/pdfs/GMD-1804-70.pdf#page=6","Abrir facsímil")</f>
        <v>Abrir facsímil</v>
      </c>
      <c r="K4129" s="15" t="s">
        <v>22</v>
      </c>
    </row>
    <row r="4130" spans="1:11" ht="42" customHeight="1">
      <c r="A4130" s="4" t="s">
        <v>9817</v>
      </c>
      <c r="B4130" s="5" t="s">
        <v>9818</v>
      </c>
      <c r="C4130" s="5" t="s">
        <v>65</v>
      </c>
      <c r="D4130" s="5" t="s">
        <v>66</v>
      </c>
      <c r="E4130" s="5" t="s">
        <v>466</v>
      </c>
      <c r="F4130" s="9">
        <v>76</v>
      </c>
      <c r="G4130" s="9">
        <v>847</v>
      </c>
      <c r="H4130" s="5" t="s">
        <v>20</v>
      </c>
      <c r="I4130" s="5" t="s">
        <v>9820</v>
      </c>
      <c r="J4130" s="12" t="str">
        <f>HYPERLINK("https://www.boe.es/gazeta/dias/1804/09/21/pdfs/GMD-1804-76.pdf#page=5","Abrir facsímil")</f>
        <v>Abrir facsímil</v>
      </c>
      <c r="K4130" s="15" t="s">
        <v>22</v>
      </c>
    </row>
    <row r="4131" spans="1:11" ht="42" customHeight="1">
      <c r="A4131" s="4" t="s">
        <v>9821</v>
      </c>
      <c r="B4131" s="5" t="s">
        <v>9822</v>
      </c>
      <c r="C4131" s="5" t="s">
        <v>27</v>
      </c>
      <c r="D4131" s="5" t="s">
        <v>28</v>
      </c>
      <c r="E4131" s="5" t="s">
        <v>163</v>
      </c>
      <c r="F4131" s="9">
        <v>70</v>
      </c>
      <c r="G4131" s="9">
        <v>784</v>
      </c>
      <c r="H4131" s="5" t="s">
        <v>20</v>
      </c>
      <c r="I4131" s="5" t="s">
        <v>9823</v>
      </c>
      <c r="J4131" s="12" t="str">
        <f>HYPERLINK("https://www.boe.es/gazeta/dias/1804/08/31/pdfs/GMD-1804-70.pdf#page=6","Abrir facsímil")</f>
        <v>Abrir facsímil</v>
      </c>
      <c r="K4131" s="15" t="s">
        <v>22</v>
      </c>
    </row>
    <row r="4132" spans="1:11" ht="42" customHeight="1">
      <c r="A4132" s="4" t="s">
        <v>9824</v>
      </c>
      <c r="B4132" s="5" t="s">
        <v>9825</v>
      </c>
      <c r="C4132" s="5" t="s">
        <v>17</v>
      </c>
      <c r="D4132" s="5" t="s">
        <v>18</v>
      </c>
      <c r="E4132" s="5" t="s">
        <v>800</v>
      </c>
      <c r="F4132" s="9">
        <v>45</v>
      </c>
      <c r="G4132" s="9">
        <v>500</v>
      </c>
      <c r="H4132" s="5" t="s">
        <v>20</v>
      </c>
      <c r="I4132" s="5" t="s">
        <v>9826</v>
      </c>
      <c r="J4132" s="12" t="str">
        <f>HYPERLINK("https://www.boe.es/gazeta/dias/1804/06/05/pdfs/GMD-1804-45.pdf#page=10","Abrir facsímil")</f>
        <v>Abrir facsímil</v>
      </c>
      <c r="K4132" s="15" t="s">
        <v>22</v>
      </c>
    </row>
    <row r="4133" spans="1:11" ht="42" customHeight="1">
      <c r="A4133" s="4" t="s">
        <v>9827</v>
      </c>
      <c r="B4133" s="5" t="s">
        <v>9828</v>
      </c>
      <c r="C4133" s="5" t="s">
        <v>27</v>
      </c>
      <c r="D4133" s="5" t="s">
        <v>28</v>
      </c>
      <c r="E4133" s="5" t="s">
        <v>109</v>
      </c>
      <c r="F4133" s="9">
        <v>35</v>
      </c>
      <c r="G4133" s="9">
        <v>386</v>
      </c>
      <c r="H4133" s="5" t="s">
        <v>20</v>
      </c>
      <c r="I4133" s="5" t="s">
        <v>9829</v>
      </c>
      <c r="J4133" s="12" t="str">
        <f>HYPERLINK("https://www.boe.es/gazeta/dias/1804/05/01/pdfs/GMD-1804-35.pdf#page=8","Abrir facsímil")</f>
        <v>Abrir facsímil</v>
      </c>
      <c r="K4133" s="15" t="s">
        <v>22</v>
      </c>
    </row>
    <row r="4134" spans="1:11" ht="42" customHeight="1">
      <c r="A4134" s="4" t="s">
        <v>9830</v>
      </c>
      <c r="B4134" s="5" t="s">
        <v>9831</v>
      </c>
      <c r="C4134" s="5" t="s">
        <v>198</v>
      </c>
      <c r="D4134" s="5" t="s">
        <v>66</v>
      </c>
      <c r="E4134" s="5" t="s">
        <v>175</v>
      </c>
      <c r="F4134" s="9">
        <v>58</v>
      </c>
      <c r="G4134" s="9">
        <v>645</v>
      </c>
      <c r="H4134" s="5" t="s">
        <v>20</v>
      </c>
      <c r="I4134" s="5" t="s">
        <v>9832</v>
      </c>
      <c r="J4134" s="12" t="str">
        <f>HYPERLINK("https://www.boe.es/gazeta/dias/1804/07/20/pdfs/GMD-1804-58.pdf#page=11","Abrir facsímil")</f>
        <v>Abrir facsímil</v>
      </c>
      <c r="K4134" s="15" t="s">
        <v>22</v>
      </c>
    </row>
    <row r="4135" spans="1:11" ht="42" customHeight="1">
      <c r="A4135" s="4" t="s">
        <v>9833</v>
      </c>
      <c r="B4135" s="5" t="s">
        <v>9834</v>
      </c>
      <c r="C4135" s="5" t="s">
        <v>27</v>
      </c>
      <c r="D4135" s="5" t="s">
        <v>28</v>
      </c>
      <c r="E4135" s="5" t="s">
        <v>67</v>
      </c>
      <c r="F4135" s="9">
        <v>59</v>
      </c>
      <c r="G4135" s="9">
        <v>653</v>
      </c>
      <c r="H4135" s="5" t="s">
        <v>20</v>
      </c>
      <c r="I4135" s="5" t="s">
        <v>9835</v>
      </c>
      <c r="J4135" s="12" t="str">
        <f>HYPERLINK("https://www.boe.es/gazeta/dias/1804/07/24/pdfs/GMD-1804-59.pdf#page=7","Abrir facsímil")</f>
        <v>Abrir facsímil</v>
      </c>
      <c r="K4135" s="15" t="s">
        <v>22</v>
      </c>
    </row>
    <row r="4136" spans="1:11" ht="42" customHeight="1">
      <c r="A4136" s="4" t="s">
        <v>9836</v>
      </c>
      <c r="B4136" s="5" t="s">
        <v>9837</v>
      </c>
      <c r="C4136" s="5" t="s">
        <v>27</v>
      </c>
      <c r="D4136" s="5" t="s">
        <v>28</v>
      </c>
      <c r="E4136" s="5" t="s">
        <v>67</v>
      </c>
      <c r="F4136" s="9">
        <v>59</v>
      </c>
      <c r="G4136" s="9">
        <v>653</v>
      </c>
      <c r="H4136" s="5" t="s">
        <v>20</v>
      </c>
      <c r="I4136" s="5" t="s">
        <v>9838</v>
      </c>
      <c r="J4136" s="12" t="str">
        <f>HYPERLINK("https://www.boe.es/gazeta/dias/1804/07/24/pdfs/GMD-1804-59.pdf#page=7","Abrir facsímil")</f>
        <v>Abrir facsímil</v>
      </c>
      <c r="K4136" s="15" t="s">
        <v>22</v>
      </c>
    </row>
    <row r="4137" spans="1:11" ht="42" customHeight="1">
      <c r="A4137" s="4" t="s">
        <v>9839</v>
      </c>
      <c r="B4137" s="5" t="s">
        <v>9840</v>
      </c>
      <c r="C4137" s="5" t="s">
        <v>85</v>
      </c>
      <c r="D4137" s="5" t="s">
        <v>86</v>
      </c>
      <c r="E4137" s="5" t="s">
        <v>511</v>
      </c>
      <c r="F4137" s="9">
        <v>12</v>
      </c>
      <c r="G4137" s="9">
        <v>136</v>
      </c>
      <c r="H4137" s="5" t="s">
        <v>20</v>
      </c>
      <c r="I4137" s="5" t="s">
        <v>9841</v>
      </c>
      <c r="J4137" s="12" t="str">
        <f>HYPERLINK("https://www.boe.es/gazeta/dias/1804/02/10/pdfs/GMD-1804-12.pdf#page=12","Abrir facsímil")</f>
        <v>Abrir facsímil</v>
      </c>
      <c r="K4137" s="15" t="s">
        <v>22</v>
      </c>
    </row>
    <row r="4138" spans="1:11" ht="42" customHeight="1">
      <c r="A4138" s="4" t="s">
        <v>9842</v>
      </c>
      <c r="B4138" s="5" t="s">
        <v>9843</v>
      </c>
      <c r="C4138" s="5" t="s">
        <v>65</v>
      </c>
      <c r="D4138" s="5" t="s">
        <v>66</v>
      </c>
      <c r="E4138" s="5" t="s">
        <v>182</v>
      </c>
      <c r="F4138" s="9">
        <v>21</v>
      </c>
      <c r="G4138" s="9">
        <v>233</v>
      </c>
      <c r="H4138" s="5" t="s">
        <v>20</v>
      </c>
      <c r="I4138" s="5" t="s">
        <v>9844</v>
      </c>
      <c r="J4138" s="12" t="str">
        <f>HYPERLINK("https://www.boe.es/gazeta/dias/1804/03/13/pdfs/GMD-1804-21.pdf#page=9","Abrir facsímil")</f>
        <v>Abrir facsímil</v>
      </c>
      <c r="K4138" s="15" t="s">
        <v>22</v>
      </c>
    </row>
    <row r="4139" spans="1:11" ht="42" customHeight="1">
      <c r="A4139" s="4" t="s">
        <v>9845</v>
      </c>
      <c r="B4139" s="5" t="s">
        <v>9846</v>
      </c>
      <c r="C4139" s="5" t="s">
        <v>27</v>
      </c>
      <c r="D4139" s="5" t="s">
        <v>28</v>
      </c>
      <c r="E4139" s="5" t="s">
        <v>33</v>
      </c>
      <c r="F4139" s="9">
        <v>48</v>
      </c>
      <c r="G4139" s="9">
        <v>537</v>
      </c>
      <c r="H4139" s="5" t="s">
        <v>20</v>
      </c>
      <c r="I4139" s="5" t="s">
        <v>9847</v>
      </c>
      <c r="J4139" s="12" t="str">
        <f>HYPERLINK("https://www.boe.es/gazeta/dias/1804/06/15/pdfs/GMD-1804-48.pdf#page=7","Abrir facsímil")</f>
        <v>Abrir facsímil</v>
      </c>
      <c r="K4139" s="15" t="s">
        <v>22</v>
      </c>
    </row>
    <row r="4140" spans="1:11" ht="42" customHeight="1">
      <c r="A4140" s="4" t="s">
        <v>9848</v>
      </c>
      <c r="B4140" s="5" t="s">
        <v>9849</v>
      </c>
      <c r="C4140" s="5" t="s">
        <v>65</v>
      </c>
      <c r="D4140" s="5" t="s">
        <v>66</v>
      </c>
      <c r="E4140" s="5" t="s">
        <v>59</v>
      </c>
      <c r="F4140" s="9">
        <v>55</v>
      </c>
      <c r="G4140" s="9">
        <v>612</v>
      </c>
      <c r="H4140" s="5" t="s">
        <v>20</v>
      </c>
      <c r="I4140" s="5" t="s">
        <v>9850</v>
      </c>
      <c r="J4140" s="12" t="str">
        <f>HYPERLINK("https://www.boe.es/gazeta/dias/1804/07/10/pdfs/GMD-1804-55.pdf#page=10","Abrir facsímil")</f>
        <v>Abrir facsímil</v>
      </c>
      <c r="K4140" s="15" t="s">
        <v>22</v>
      </c>
    </row>
    <row r="4141" spans="1:11" ht="42" customHeight="1">
      <c r="A4141" s="4" t="s">
        <v>9851</v>
      </c>
      <c r="B4141" s="5" t="s">
        <v>9852</v>
      </c>
      <c r="C4141" s="5" t="s">
        <v>17</v>
      </c>
      <c r="D4141" s="5" t="s">
        <v>18</v>
      </c>
      <c r="E4141" s="5" t="s">
        <v>587</v>
      </c>
      <c r="F4141" s="9">
        <v>62</v>
      </c>
      <c r="G4141" s="9">
        <v>687</v>
      </c>
      <c r="H4141" s="5" t="s">
        <v>20</v>
      </c>
      <c r="I4141" s="5" t="s">
        <v>9853</v>
      </c>
      <c r="J4141" s="12" t="str">
        <f>HYPERLINK("https://www.boe.es/gazeta/dias/1804/08/03/pdfs/GMD-1804-62.pdf#page=9","Abrir facsímil")</f>
        <v>Abrir facsímil</v>
      </c>
      <c r="K4141" s="15" t="s">
        <v>22</v>
      </c>
    </row>
    <row r="4142" spans="1:11" ht="42" customHeight="1">
      <c r="A4142" s="4" t="s">
        <v>9854</v>
      </c>
      <c r="B4142" s="5" t="s">
        <v>9855</v>
      </c>
      <c r="C4142" s="5" t="s">
        <v>27</v>
      </c>
      <c r="D4142" s="5" t="s">
        <v>28</v>
      </c>
      <c r="E4142" s="5" t="s">
        <v>490</v>
      </c>
      <c r="F4142" s="9">
        <v>100</v>
      </c>
      <c r="G4142" s="9">
        <v>1118</v>
      </c>
      <c r="H4142" s="5" t="s">
        <v>20</v>
      </c>
      <c r="I4142" s="5" t="s">
        <v>9856</v>
      </c>
      <c r="J4142" s="12" t="str">
        <f>HYPERLINK("https://www.boe.es/gazeta/dias/1804/12/14/pdfs/GMD-1804-100.pdf#page=10","Abrir facsímil")</f>
        <v>Abrir facsímil</v>
      </c>
      <c r="K4142" s="15" t="s">
        <v>22</v>
      </c>
    </row>
    <row r="4143" spans="1:11" ht="42" customHeight="1">
      <c r="A4143" s="4" t="s">
        <v>9857</v>
      </c>
      <c r="B4143" s="5" t="s">
        <v>9858</v>
      </c>
      <c r="C4143" s="5" t="s">
        <v>17</v>
      </c>
      <c r="D4143" s="5" t="s">
        <v>18</v>
      </c>
      <c r="E4143" s="5" t="s">
        <v>159</v>
      </c>
      <c r="F4143" s="9">
        <v>15</v>
      </c>
      <c r="G4143" s="9">
        <v>163</v>
      </c>
      <c r="H4143" s="5" t="s">
        <v>20</v>
      </c>
      <c r="I4143" s="5" t="s">
        <v>9859</v>
      </c>
      <c r="J4143" s="12" t="str">
        <f>HYPERLINK("https://www.boe.es/gazeta/dias/1804/02/21/pdfs/GMD-1804-15.pdf#page=7","Abrir facsímil")</f>
        <v>Abrir facsímil</v>
      </c>
      <c r="K4143" s="15" t="s">
        <v>22</v>
      </c>
    </row>
    <row r="4144" spans="1:11" ht="42" customHeight="1">
      <c r="A4144" s="4" t="s">
        <v>9860</v>
      </c>
      <c r="B4144" s="5" t="s">
        <v>9861</v>
      </c>
      <c r="C4144" s="5" t="s">
        <v>27</v>
      </c>
      <c r="D4144" s="5" t="s">
        <v>28</v>
      </c>
      <c r="E4144" s="5" t="s">
        <v>484</v>
      </c>
      <c r="F4144" s="9">
        <v>53</v>
      </c>
      <c r="G4144" s="9">
        <v>590</v>
      </c>
      <c r="H4144" s="5" t="s">
        <v>20</v>
      </c>
      <c r="I4144" s="5" t="s">
        <v>9862</v>
      </c>
      <c r="J4144" s="12" t="str">
        <f>HYPERLINK("https://www.boe.es/gazeta/dias/1804/07/03/pdfs/GMD-1804-53.pdf#page=8","Abrir facsímil")</f>
        <v>Abrir facsímil</v>
      </c>
      <c r="K4144" s="15" t="s">
        <v>22</v>
      </c>
    </row>
    <row r="4145" spans="1:11" ht="42" customHeight="1">
      <c r="A4145" s="4" t="s">
        <v>9863</v>
      </c>
      <c r="B4145" s="5" t="s">
        <v>9864</v>
      </c>
      <c r="C4145" s="5" t="s">
        <v>65</v>
      </c>
      <c r="D4145" s="5" t="s">
        <v>66</v>
      </c>
      <c r="E4145" s="5" t="s">
        <v>109</v>
      </c>
      <c r="F4145" s="9">
        <v>35</v>
      </c>
      <c r="G4145" s="9">
        <v>387</v>
      </c>
      <c r="H4145" s="5" t="s">
        <v>20</v>
      </c>
      <c r="I4145" s="5" t="s">
        <v>9865</v>
      </c>
      <c r="J4145" s="12" t="str">
        <f>HYPERLINK("https://www.boe.es/gazeta/dias/1804/05/01/pdfs/GMD-1804-35.pdf#page=9","Abrir facsímil")</f>
        <v>Abrir facsímil</v>
      </c>
      <c r="K4145" s="15" t="s">
        <v>22</v>
      </c>
    </row>
    <row r="4146" spans="1:11" ht="42" customHeight="1">
      <c r="A4146" s="4" t="s">
        <v>9866</v>
      </c>
      <c r="B4146" s="5" t="s">
        <v>9867</v>
      </c>
      <c r="C4146" s="5" t="s">
        <v>120</v>
      </c>
      <c r="D4146" s="5" t="s">
        <v>121</v>
      </c>
      <c r="E4146" s="5" t="s">
        <v>33</v>
      </c>
      <c r="F4146" s="9">
        <v>48</v>
      </c>
      <c r="G4146" s="9" t="s">
        <v>98</v>
      </c>
      <c r="H4146" s="5" t="s">
        <v>20</v>
      </c>
      <c r="I4146" s="5" t="s">
        <v>9868</v>
      </c>
      <c r="J4146" s="12" t="str">
        <f>HYPERLINK("https://www.boe.es/gazeta/dias/1804/06/15/pdfs/GMD-C-1804-48.pdf#page=1","Abrir facsímil")</f>
        <v>Abrir facsímil</v>
      </c>
      <c r="K4146" s="15" t="s">
        <v>22</v>
      </c>
    </row>
    <row r="4147" spans="1:11" ht="42" customHeight="1">
      <c r="A4147" s="4" t="s">
        <v>9869</v>
      </c>
      <c r="B4147" s="5" t="s">
        <v>9870</v>
      </c>
      <c r="C4147" s="5" t="s">
        <v>17</v>
      </c>
      <c r="D4147" s="5" t="s">
        <v>18</v>
      </c>
      <c r="E4147" s="5" t="s">
        <v>111</v>
      </c>
      <c r="F4147" s="9">
        <v>40</v>
      </c>
      <c r="G4147" s="9">
        <v>449</v>
      </c>
      <c r="H4147" s="5" t="s">
        <v>20</v>
      </c>
      <c r="I4147" s="5" t="s">
        <v>9871</v>
      </c>
      <c r="J4147" s="12" t="str">
        <f>HYPERLINK("https://www.boe.es/gazeta/dias/1804/05/18/pdfs/GMD-1804-40.pdf#page=11","Abrir facsímil")</f>
        <v>Abrir facsímil</v>
      </c>
      <c r="K4147" s="15" t="s">
        <v>22</v>
      </c>
    </row>
    <row r="4148" spans="1:11" ht="42" customHeight="1">
      <c r="A4148" s="4" t="s">
        <v>9872</v>
      </c>
      <c r="B4148" s="5" t="s">
        <v>9873</v>
      </c>
      <c r="C4148" s="5" t="s">
        <v>65</v>
      </c>
      <c r="D4148" s="5" t="s">
        <v>66</v>
      </c>
      <c r="E4148" s="5" t="s">
        <v>111</v>
      </c>
      <c r="F4148" s="9">
        <v>40</v>
      </c>
      <c r="G4148" s="9">
        <v>449</v>
      </c>
      <c r="H4148" s="5" t="s">
        <v>20</v>
      </c>
      <c r="I4148" s="5" t="s">
        <v>9874</v>
      </c>
      <c r="J4148" s="12" t="str">
        <f>HYPERLINK("https://www.boe.es/gazeta/dias/1804/05/18/pdfs/GMD-1804-40.pdf#page=11","Abrir facsímil")</f>
        <v>Abrir facsímil</v>
      </c>
      <c r="K4148" s="15" t="s">
        <v>22</v>
      </c>
    </row>
    <row r="4149" spans="1:11" ht="42" customHeight="1">
      <c r="A4149" s="4" t="s">
        <v>9875</v>
      </c>
      <c r="B4149" s="5" t="s">
        <v>9876</v>
      </c>
      <c r="C4149" s="5" t="s">
        <v>198</v>
      </c>
      <c r="D4149" s="5" t="s">
        <v>66</v>
      </c>
      <c r="E4149" s="5" t="s">
        <v>670</v>
      </c>
      <c r="F4149" s="9">
        <v>41</v>
      </c>
      <c r="G4149" s="9">
        <v>459</v>
      </c>
      <c r="H4149" s="5" t="s">
        <v>20</v>
      </c>
      <c r="I4149" s="5" t="s">
        <v>9877</v>
      </c>
      <c r="J4149" s="12" t="str">
        <f>HYPERLINK("https://www.boe.es/gazeta/dias/1804/05/22/pdfs/GMD-1804-41.pdf#page=9","Abrir facsímil")</f>
        <v>Abrir facsímil</v>
      </c>
      <c r="K4149" s="15" t="s">
        <v>22</v>
      </c>
    </row>
    <row r="4150" spans="1:11" ht="42" customHeight="1">
      <c r="A4150" s="4" t="s">
        <v>9875</v>
      </c>
      <c r="B4150" s="5" t="s">
        <v>9876</v>
      </c>
      <c r="C4150" s="5" t="s">
        <v>17</v>
      </c>
      <c r="D4150" s="5" t="s">
        <v>18</v>
      </c>
      <c r="E4150" s="5" t="s">
        <v>587</v>
      </c>
      <c r="F4150" s="9">
        <v>62</v>
      </c>
      <c r="G4150" s="9">
        <v>688</v>
      </c>
      <c r="H4150" s="5" t="s">
        <v>20</v>
      </c>
      <c r="I4150" s="5" t="s">
        <v>9878</v>
      </c>
      <c r="J4150" s="12" t="str">
        <f>HYPERLINK("https://www.boe.es/gazeta/dias/1804/08/03/pdfs/GMD-1804-62.pdf#page=10","Abrir facsímil")</f>
        <v>Abrir facsímil</v>
      </c>
      <c r="K4150" s="15" t="s">
        <v>22</v>
      </c>
    </row>
    <row r="4151" spans="1:11" ht="42" customHeight="1">
      <c r="A4151" s="4" t="s">
        <v>9875</v>
      </c>
      <c r="B4151" s="5" t="s">
        <v>9876</v>
      </c>
      <c r="C4151" s="5" t="s">
        <v>17</v>
      </c>
      <c r="D4151" s="5" t="s">
        <v>18</v>
      </c>
      <c r="E4151" s="5" t="s">
        <v>54</v>
      </c>
      <c r="F4151" s="9">
        <v>63</v>
      </c>
      <c r="G4151" s="9">
        <v>700</v>
      </c>
      <c r="H4151" s="5" t="s">
        <v>20</v>
      </c>
      <c r="I4151" s="5" t="s">
        <v>9879</v>
      </c>
      <c r="J4151" s="12" t="str">
        <f>HYPERLINK("https://www.boe.es/gazeta/dias/1804/08/07/pdfs/GMD-1804-63.pdf#page=10","Abrir facsímil")</f>
        <v>Abrir facsímil</v>
      </c>
      <c r="K4151" s="15" t="s">
        <v>22</v>
      </c>
    </row>
    <row r="4152" spans="1:11" ht="42" customHeight="1">
      <c r="A4152" s="4" t="s">
        <v>9875</v>
      </c>
      <c r="B4152" s="5" t="s">
        <v>9876</v>
      </c>
      <c r="C4152" s="5" t="s">
        <v>27</v>
      </c>
      <c r="D4152" s="5" t="s">
        <v>28</v>
      </c>
      <c r="E4152" s="5" t="s">
        <v>709</v>
      </c>
      <c r="F4152" s="9">
        <v>82</v>
      </c>
      <c r="G4152" s="9">
        <v>907</v>
      </c>
      <c r="H4152" s="5" t="s">
        <v>20</v>
      </c>
      <c r="I4152" s="5" t="s">
        <v>9880</v>
      </c>
      <c r="J4152" s="12" t="str">
        <f>HYPERLINK("https://www.boe.es/gazeta/dias/1804/10/12/pdfs/GMD-1804-82.pdf#page=9","Abrir facsímil")</f>
        <v>Abrir facsímil</v>
      </c>
      <c r="K4152" s="15" t="s">
        <v>22</v>
      </c>
    </row>
    <row r="4153" spans="1:11" ht="42" customHeight="1">
      <c r="A4153" s="4" t="s">
        <v>9881</v>
      </c>
      <c r="B4153" s="5" t="s">
        <v>9882</v>
      </c>
      <c r="C4153" s="5" t="s">
        <v>120</v>
      </c>
      <c r="D4153" s="5" t="s">
        <v>121</v>
      </c>
      <c r="E4153" s="5" t="s">
        <v>33</v>
      </c>
      <c r="F4153" s="9">
        <v>48</v>
      </c>
      <c r="G4153" s="9" t="s">
        <v>98</v>
      </c>
      <c r="H4153" s="5" t="s">
        <v>20</v>
      </c>
      <c r="I4153" s="5" t="s">
        <v>9883</v>
      </c>
      <c r="J4153" s="12" t="str">
        <f>HYPERLINK("https://www.boe.es/gazeta/dias/1804/06/15/pdfs/GMD-C-1804-48.pdf#page=1","Abrir facsímil")</f>
        <v>Abrir facsímil</v>
      </c>
      <c r="K4153" s="15" t="s">
        <v>22</v>
      </c>
    </row>
    <row r="4154" spans="1:11" ht="42" customHeight="1">
      <c r="A4154" s="4" t="s">
        <v>9884</v>
      </c>
      <c r="B4154" s="5" t="s">
        <v>9885</v>
      </c>
      <c r="C4154" s="5" t="s">
        <v>65</v>
      </c>
      <c r="D4154" s="5" t="s">
        <v>66</v>
      </c>
      <c r="E4154" s="5" t="s">
        <v>50</v>
      </c>
      <c r="F4154" s="9">
        <v>93</v>
      </c>
      <c r="G4154" s="9">
        <v>1030</v>
      </c>
      <c r="H4154" s="5" t="s">
        <v>20</v>
      </c>
      <c r="I4154" s="5" t="s">
        <v>9886</v>
      </c>
      <c r="J4154" s="12" t="str">
        <f>HYPERLINK("https://www.boe.es/gazeta/dias/1804/11/20/pdfs/GMD-1804-93.pdf#page=6","Abrir facsímil")</f>
        <v>Abrir facsímil</v>
      </c>
      <c r="K4154" s="15" t="s">
        <v>22</v>
      </c>
    </row>
    <row r="4155" spans="1:11" ht="42" customHeight="1">
      <c r="A4155" s="4" t="s">
        <v>9887</v>
      </c>
      <c r="B4155" s="5" t="s">
        <v>9888</v>
      </c>
      <c r="C4155" s="5" t="s">
        <v>17</v>
      </c>
      <c r="D4155" s="5" t="s">
        <v>18</v>
      </c>
      <c r="E4155" s="5" t="s">
        <v>71</v>
      </c>
      <c r="F4155" s="9">
        <v>99</v>
      </c>
      <c r="G4155" s="9">
        <v>1106</v>
      </c>
      <c r="H4155" s="5" t="s">
        <v>20</v>
      </c>
      <c r="I4155" s="5" t="s">
        <v>9889</v>
      </c>
      <c r="J4155" s="12" t="str">
        <f>HYPERLINK("https://www.boe.es/gazeta/dias/1804/12/11/pdfs/GMD-1804-99.pdf#page=6","Abrir facsímil")</f>
        <v>Abrir facsímil</v>
      </c>
      <c r="K4155" s="15" t="s">
        <v>22</v>
      </c>
    </row>
    <row r="4156" spans="1:11" ht="42" customHeight="1">
      <c r="A4156" s="4" t="s">
        <v>9890</v>
      </c>
      <c r="B4156" s="5" t="s">
        <v>9891</v>
      </c>
      <c r="C4156" s="5" t="s">
        <v>198</v>
      </c>
      <c r="D4156" s="5" t="s">
        <v>66</v>
      </c>
      <c r="E4156" s="5" t="s">
        <v>326</v>
      </c>
      <c r="F4156" s="9">
        <v>69</v>
      </c>
      <c r="G4156" s="9">
        <v>774</v>
      </c>
      <c r="H4156" s="5" t="s">
        <v>20</v>
      </c>
      <c r="I4156" s="5" t="s">
        <v>9892</v>
      </c>
      <c r="J4156" s="12" t="str">
        <f>HYPERLINK("https://www.boe.es/gazeta/dias/1804/08/28/pdfs/GMD-1804-69.pdf#page=8","Abrir facsímil")</f>
        <v>Abrir facsímil</v>
      </c>
      <c r="K4156" s="15" t="s">
        <v>22</v>
      </c>
    </row>
    <row r="4157" spans="1:11" ht="42" customHeight="1">
      <c r="A4157" s="4" t="s">
        <v>9893</v>
      </c>
      <c r="B4157" s="5" t="s">
        <v>9894</v>
      </c>
      <c r="C4157" s="5" t="s">
        <v>27</v>
      </c>
      <c r="D4157" s="5" t="s">
        <v>28</v>
      </c>
      <c r="E4157" s="5" t="s">
        <v>258</v>
      </c>
      <c r="F4157" s="9">
        <v>14</v>
      </c>
      <c r="G4157" s="9">
        <v>153</v>
      </c>
      <c r="H4157" s="5" t="s">
        <v>20</v>
      </c>
      <c r="I4157" s="5" t="s">
        <v>9895</v>
      </c>
      <c r="J4157" s="12" t="str">
        <f>HYPERLINK("https://www.boe.es/gazeta/dias/1804/02/17/pdfs/GMD-1804-14.pdf#page=9","Abrir facsímil")</f>
        <v>Abrir facsímil</v>
      </c>
      <c r="K4157" s="15" t="s">
        <v>22</v>
      </c>
    </row>
    <row r="4158" spans="1:11" ht="42" customHeight="1">
      <c r="A4158" s="4" t="s">
        <v>9896</v>
      </c>
      <c r="B4158" s="5" t="s">
        <v>9897</v>
      </c>
      <c r="C4158" s="5" t="s">
        <v>17</v>
      </c>
      <c r="D4158" s="5" t="s">
        <v>18</v>
      </c>
      <c r="E4158" s="5" t="s">
        <v>71</v>
      </c>
      <c r="F4158" s="9">
        <v>99</v>
      </c>
      <c r="G4158" s="9">
        <v>1107</v>
      </c>
      <c r="H4158" s="5" t="s">
        <v>20</v>
      </c>
      <c r="I4158" s="5" t="s">
        <v>9898</v>
      </c>
      <c r="J4158" s="12" t="str">
        <f>HYPERLINK("https://www.boe.es/gazeta/dias/1804/12/11/pdfs/GMD-1804-99.pdf#page=7","Abrir facsímil")</f>
        <v>Abrir facsímil</v>
      </c>
      <c r="K4158" s="15" t="s">
        <v>22</v>
      </c>
    </row>
    <row r="4159" spans="1:11" ht="42" customHeight="1">
      <c r="A4159" s="4" t="s">
        <v>9899</v>
      </c>
      <c r="B4159" s="5" t="s">
        <v>9900</v>
      </c>
      <c r="C4159" s="5" t="s">
        <v>27</v>
      </c>
      <c r="D4159" s="5" t="s">
        <v>28</v>
      </c>
      <c r="E4159" s="5" t="s">
        <v>308</v>
      </c>
      <c r="F4159" s="9">
        <v>96</v>
      </c>
      <c r="G4159" s="9">
        <v>1068</v>
      </c>
      <c r="H4159" s="5" t="s">
        <v>20</v>
      </c>
      <c r="I4159" s="5" t="s">
        <v>9901</v>
      </c>
      <c r="J4159" s="12" t="str">
        <f>HYPERLINK("https://www.boe.es/gazeta/dias/1804/11/30/pdfs/GMD-1804-96.pdf#page=8","Abrir facsímil")</f>
        <v>Abrir facsímil</v>
      </c>
      <c r="K4159" s="15" t="s">
        <v>22</v>
      </c>
    </row>
    <row r="4160" spans="1:11" ht="42" customHeight="1">
      <c r="A4160" s="4" t="s">
        <v>9902</v>
      </c>
      <c r="B4160" s="5" t="s">
        <v>9903</v>
      </c>
      <c r="C4160" s="5" t="s">
        <v>27</v>
      </c>
      <c r="D4160" s="5" t="s">
        <v>28</v>
      </c>
      <c r="E4160" s="5" t="s">
        <v>67</v>
      </c>
      <c r="F4160" s="9">
        <v>59</v>
      </c>
      <c r="G4160" s="9">
        <v>652</v>
      </c>
      <c r="H4160" s="5" t="s">
        <v>20</v>
      </c>
      <c r="I4160" s="5" t="s">
        <v>9904</v>
      </c>
      <c r="J4160" s="12" t="str">
        <f>HYPERLINK("https://www.boe.es/gazeta/dias/1804/07/24/pdfs/GMD-1804-59.pdf#page=6","Abrir facsímil")</f>
        <v>Abrir facsímil</v>
      </c>
      <c r="K4160" s="15" t="s">
        <v>22</v>
      </c>
    </row>
    <row r="4161" spans="1:11" ht="42" customHeight="1">
      <c r="A4161" s="4" t="s">
        <v>9905</v>
      </c>
      <c r="B4161" s="5" t="s">
        <v>9906</v>
      </c>
      <c r="C4161" s="5" t="s">
        <v>65</v>
      </c>
      <c r="D4161" s="5" t="s">
        <v>66</v>
      </c>
      <c r="E4161" s="5" t="s">
        <v>547</v>
      </c>
      <c r="F4161" s="9">
        <v>68</v>
      </c>
      <c r="G4161" s="9">
        <v>766</v>
      </c>
      <c r="H4161" s="5" t="s">
        <v>20</v>
      </c>
      <c r="I4161" s="5" t="s">
        <v>9907</v>
      </c>
      <c r="J4161" s="12" t="str">
        <f>HYPERLINK("https://www.boe.es/gazeta/dias/1804/08/24/pdfs/GMD-1804-68.pdf#page=12","Abrir facsímil")</f>
        <v>Abrir facsímil</v>
      </c>
      <c r="K4161" s="15" t="s">
        <v>22</v>
      </c>
    </row>
    <row r="4162" spans="1:11" ht="42" customHeight="1">
      <c r="A4162" s="4" t="s">
        <v>9908</v>
      </c>
      <c r="B4162" s="5" t="s">
        <v>9909</v>
      </c>
      <c r="C4162" s="5" t="s">
        <v>27</v>
      </c>
      <c r="D4162" s="5" t="s">
        <v>28</v>
      </c>
      <c r="E4162" s="5" t="s">
        <v>91</v>
      </c>
      <c r="F4162" s="9">
        <v>72</v>
      </c>
      <c r="G4162" s="9">
        <v>805</v>
      </c>
      <c r="H4162" s="5" t="s">
        <v>20</v>
      </c>
      <c r="I4162" s="5" t="s">
        <v>9910</v>
      </c>
      <c r="J4162" s="12" t="str">
        <f>HYPERLINK("https://www.boe.es/gazeta/dias/1804/09/07/pdfs/GMD-1804-72.pdf#page=7","Abrir facsímil")</f>
        <v>Abrir facsímil</v>
      </c>
      <c r="K4162" s="15" t="s">
        <v>22</v>
      </c>
    </row>
    <row r="4163" spans="1:11" ht="42" customHeight="1">
      <c r="A4163" s="4" t="s">
        <v>9911</v>
      </c>
      <c r="B4163" s="5" t="s">
        <v>9912</v>
      </c>
      <c r="C4163" s="5" t="s">
        <v>120</v>
      </c>
      <c r="D4163" s="5" t="s">
        <v>121</v>
      </c>
      <c r="E4163" s="5" t="s">
        <v>33</v>
      </c>
      <c r="F4163" s="9">
        <v>48</v>
      </c>
      <c r="G4163" s="9" t="s">
        <v>285</v>
      </c>
      <c r="H4163" s="5" t="s">
        <v>20</v>
      </c>
      <c r="I4163" s="5" t="s">
        <v>9913</v>
      </c>
      <c r="J4163" s="12" t="str">
        <f>HYPERLINK("https://www.boe.es/gazeta/dias/1804/06/15/pdfs/GMD-C-1804-48.pdf#page=2","Abrir facsímil")</f>
        <v>Abrir facsímil</v>
      </c>
      <c r="K4163" s="15" t="s">
        <v>22</v>
      </c>
    </row>
    <row r="4164" spans="1:11" ht="42" customHeight="1">
      <c r="A4164" s="4" t="s">
        <v>9914</v>
      </c>
      <c r="B4164" s="5" t="s">
        <v>9914</v>
      </c>
      <c r="C4164" s="5" t="s">
        <v>57</v>
      </c>
      <c r="D4164" s="5" t="s">
        <v>58</v>
      </c>
      <c r="E4164" s="5" t="s">
        <v>109</v>
      </c>
      <c r="F4164" s="9">
        <v>35</v>
      </c>
      <c r="G4164" s="9">
        <v>381</v>
      </c>
      <c r="H4164" s="5" t="s">
        <v>20</v>
      </c>
      <c r="I4164" s="5" t="s">
        <v>9915</v>
      </c>
      <c r="J4164" s="12" t="str">
        <f>HYPERLINK("https://www.boe.es/gazeta/dias/1804/05/01/pdfs/GMD-1804-35.pdf#page=3","Abrir facsímil")</f>
        <v>Abrir facsímil</v>
      </c>
      <c r="K4164" s="15" t="s">
        <v>22</v>
      </c>
    </row>
    <row r="4165" spans="1:11" ht="42" customHeight="1">
      <c r="A4165" s="4" t="s">
        <v>9916</v>
      </c>
      <c r="B4165" s="5" t="s">
        <v>9917</v>
      </c>
      <c r="C4165" s="5" t="s">
        <v>57</v>
      </c>
      <c r="D4165" s="5" t="s">
        <v>58</v>
      </c>
      <c r="E4165" s="5" t="s">
        <v>1449</v>
      </c>
      <c r="F4165" s="9">
        <v>8</v>
      </c>
      <c r="G4165" s="9">
        <v>83</v>
      </c>
      <c r="H4165" s="5" t="s">
        <v>20</v>
      </c>
      <c r="I4165" s="5" t="s">
        <v>9918</v>
      </c>
      <c r="J4165" s="12" t="str">
        <f>HYPERLINK("https://www.boe.es/gazeta/dias/1804/01/27/pdfs/GMD-1804-8.pdf#page=7","Abrir facsímil")</f>
        <v>Abrir facsímil</v>
      </c>
      <c r="K4165" s="15" t="s">
        <v>22</v>
      </c>
    </row>
    <row r="4166" spans="1:11" ht="42" customHeight="1">
      <c r="A4166" s="4" t="s">
        <v>9919</v>
      </c>
      <c r="B4166" s="5" t="s">
        <v>9920</v>
      </c>
      <c r="C4166" s="5" t="s">
        <v>27</v>
      </c>
      <c r="D4166" s="5" t="s">
        <v>28</v>
      </c>
      <c r="E4166" s="5" t="s">
        <v>23</v>
      </c>
      <c r="F4166" s="9">
        <v>91</v>
      </c>
      <c r="G4166" s="9">
        <v>1009</v>
      </c>
      <c r="H4166" s="5" t="s">
        <v>20</v>
      </c>
      <c r="I4166" s="5" t="s">
        <v>9921</v>
      </c>
      <c r="J4166" s="12" t="str">
        <f>HYPERLINK("https://www.boe.es/gazeta/dias/1804/11/13/pdfs/GMD-1804-91.pdf#page=9","Abrir facsímil")</f>
        <v>Abrir facsímil</v>
      </c>
      <c r="K4166" s="15" t="s">
        <v>22</v>
      </c>
    </row>
    <row r="4167" spans="1:11" ht="42" customHeight="1">
      <c r="A4167" s="4" t="s">
        <v>9922</v>
      </c>
      <c r="B4167" s="5" t="s">
        <v>9923</v>
      </c>
      <c r="C4167" s="5" t="s">
        <v>65</v>
      </c>
      <c r="D4167" s="5" t="s">
        <v>66</v>
      </c>
      <c r="E4167" s="5" t="s">
        <v>350</v>
      </c>
      <c r="F4167" s="9">
        <v>19</v>
      </c>
      <c r="G4167" s="9">
        <v>209</v>
      </c>
      <c r="H4167" s="5" t="s">
        <v>20</v>
      </c>
      <c r="I4167" s="5" t="s">
        <v>9924</v>
      </c>
      <c r="J4167" s="12" t="str">
        <f>HYPERLINK("https://www.boe.es/gazeta/dias/1804/03/06/pdfs/GMD-1804-19.pdf#page=9","Abrir facsímil")</f>
        <v>Abrir facsímil</v>
      </c>
      <c r="K4167" s="15" t="s">
        <v>22</v>
      </c>
    </row>
    <row r="4168" spans="1:11" ht="42" customHeight="1">
      <c r="A4168" s="4" t="s">
        <v>9922</v>
      </c>
      <c r="B4168" s="5" t="s">
        <v>9923</v>
      </c>
      <c r="C4168" s="5" t="s">
        <v>27</v>
      </c>
      <c r="D4168" s="5" t="s">
        <v>28</v>
      </c>
      <c r="E4168" s="5" t="s">
        <v>709</v>
      </c>
      <c r="F4168" s="9">
        <v>82</v>
      </c>
      <c r="G4168" s="9">
        <v>906</v>
      </c>
      <c r="H4168" s="5" t="s">
        <v>20</v>
      </c>
      <c r="I4168" s="5" t="s">
        <v>9925</v>
      </c>
      <c r="J4168" s="12" t="str">
        <f>HYPERLINK("https://www.boe.es/gazeta/dias/1804/10/12/pdfs/GMD-1804-82.pdf#page=8","Abrir facsímil")</f>
        <v>Abrir facsímil</v>
      </c>
      <c r="K4168" s="15" t="s">
        <v>22</v>
      </c>
    </row>
    <row r="4169" spans="1:11" ht="42" customHeight="1">
      <c r="A4169" s="4" t="s">
        <v>9926</v>
      </c>
      <c r="B4169" s="5" t="s">
        <v>9927</v>
      </c>
      <c r="C4169" s="5" t="s">
        <v>17</v>
      </c>
      <c r="D4169" s="5" t="s">
        <v>18</v>
      </c>
      <c r="E4169" s="5" t="s">
        <v>245</v>
      </c>
      <c r="F4169" s="9">
        <v>6</v>
      </c>
      <c r="G4169" s="9">
        <v>58</v>
      </c>
      <c r="H4169" s="5" t="s">
        <v>20</v>
      </c>
      <c r="I4169" s="5" t="s">
        <v>9928</v>
      </c>
      <c r="J4169" s="12" t="str">
        <f>HYPERLINK("https://www.boe.es/gazeta/dias/1804/01/20/pdfs/GMD-1804-6.pdf#page=10","Abrir facsímil")</f>
        <v>Abrir facsímil</v>
      </c>
      <c r="K4169" s="15" t="s">
        <v>22</v>
      </c>
    </row>
    <row r="4170" spans="1:11" ht="42" customHeight="1">
      <c r="A4170" s="4" t="s">
        <v>9929</v>
      </c>
      <c r="B4170" s="5" t="s">
        <v>9930</v>
      </c>
      <c r="C4170" s="5" t="s">
        <v>17</v>
      </c>
      <c r="D4170" s="5" t="s">
        <v>18</v>
      </c>
      <c r="E4170" s="5" t="s">
        <v>71</v>
      </c>
      <c r="F4170" s="9">
        <v>99</v>
      </c>
      <c r="G4170" s="9">
        <v>1104</v>
      </c>
      <c r="H4170" s="5" t="s">
        <v>20</v>
      </c>
      <c r="I4170" s="5" t="s">
        <v>9931</v>
      </c>
      <c r="J4170" s="12" t="str">
        <f>HYPERLINK("https://www.boe.es/gazeta/dias/1804/12/11/pdfs/GMD-1804-99.pdf#page=4","Abrir facsímil")</f>
        <v>Abrir facsímil</v>
      </c>
      <c r="K4170" s="15" t="s">
        <v>22</v>
      </c>
    </row>
    <row r="4171" spans="1:11" ht="42" customHeight="1">
      <c r="A4171" s="4" t="s">
        <v>9932</v>
      </c>
      <c r="B4171" s="5" t="s">
        <v>9933</v>
      </c>
      <c r="C4171" s="5" t="s">
        <v>27</v>
      </c>
      <c r="D4171" s="5" t="s">
        <v>28</v>
      </c>
      <c r="E4171" s="5" t="s">
        <v>33</v>
      </c>
      <c r="F4171" s="9">
        <v>48</v>
      </c>
      <c r="G4171" s="9">
        <v>537</v>
      </c>
      <c r="H4171" s="5" t="s">
        <v>20</v>
      </c>
      <c r="I4171" s="5" t="s">
        <v>9934</v>
      </c>
      <c r="J4171" s="12" t="str">
        <f>HYPERLINK("https://www.boe.es/gazeta/dias/1804/06/15/pdfs/GMD-1804-48.pdf#page=7","Abrir facsímil")</f>
        <v>Abrir facsímil</v>
      </c>
      <c r="K4171" s="15" t="s">
        <v>22</v>
      </c>
    </row>
    <row r="4172" spans="1:11" ht="42" customHeight="1">
      <c r="A4172" s="4" t="s">
        <v>9935</v>
      </c>
      <c r="B4172" s="5" t="s">
        <v>9936</v>
      </c>
      <c r="C4172" s="5" t="s">
        <v>27</v>
      </c>
      <c r="D4172" s="5" t="s">
        <v>28</v>
      </c>
      <c r="E4172" s="5" t="s">
        <v>199</v>
      </c>
      <c r="F4172" s="9">
        <v>46</v>
      </c>
      <c r="G4172" s="9">
        <v>512</v>
      </c>
      <c r="H4172" s="5" t="s">
        <v>20</v>
      </c>
      <c r="I4172" s="5" t="s">
        <v>9937</v>
      </c>
      <c r="J4172" s="12" t="str">
        <f>HYPERLINK("https://www.boe.es/gazeta/dias/1804/06/08/pdfs/GMD-1804-46.pdf#page=10","Abrir facsímil")</f>
        <v>Abrir facsímil</v>
      </c>
      <c r="K4172" s="15" t="s">
        <v>22</v>
      </c>
    </row>
    <row r="4173" spans="1:11" ht="42" customHeight="1">
      <c r="A4173" s="4" t="s">
        <v>9938</v>
      </c>
      <c r="B4173" s="5" t="s">
        <v>9939</v>
      </c>
      <c r="C4173" s="5" t="s">
        <v>27</v>
      </c>
      <c r="D4173" s="5" t="s">
        <v>28</v>
      </c>
      <c r="E4173" s="5" t="s">
        <v>272</v>
      </c>
      <c r="F4173" s="9">
        <v>30</v>
      </c>
      <c r="G4173" s="9">
        <v>332</v>
      </c>
      <c r="H4173" s="5" t="s">
        <v>20</v>
      </c>
      <c r="I4173" s="5" t="s">
        <v>9940</v>
      </c>
      <c r="J4173" s="12" t="str">
        <f>HYPERLINK("https://www.boe.es/gazeta/dias/1804/04/13/pdfs/GMD-1804-30.pdf#page=10","Abrir facsímil")</f>
        <v>Abrir facsímil</v>
      </c>
      <c r="K4173" s="15" t="s">
        <v>22</v>
      </c>
    </row>
    <row r="4174" spans="1:11" ht="42" customHeight="1">
      <c r="A4174" s="4" t="s">
        <v>9941</v>
      </c>
      <c r="B4174" s="5" t="s">
        <v>9942</v>
      </c>
      <c r="C4174" s="5" t="s">
        <v>17</v>
      </c>
      <c r="D4174" s="5" t="s">
        <v>18</v>
      </c>
      <c r="E4174" s="5" t="s">
        <v>709</v>
      </c>
      <c r="F4174" s="9">
        <v>82</v>
      </c>
      <c r="G4174" s="9">
        <v>903</v>
      </c>
      <c r="H4174" s="5" t="s">
        <v>20</v>
      </c>
      <c r="I4174" s="5" t="s">
        <v>9943</v>
      </c>
      <c r="J4174" s="12" t="str">
        <f>HYPERLINK("https://www.boe.es/gazeta/dias/1804/10/12/pdfs/GMD-1804-82.pdf#page=5","Abrir facsímil")</f>
        <v>Abrir facsímil</v>
      </c>
      <c r="K4174" s="15" t="s">
        <v>22</v>
      </c>
    </row>
    <row r="4175" spans="1:11" ht="42" customHeight="1">
      <c r="A4175" s="4" t="s">
        <v>9944</v>
      </c>
      <c r="B4175" s="5" t="s">
        <v>9944</v>
      </c>
      <c r="C4175" s="5" t="s">
        <v>57</v>
      </c>
      <c r="D4175" s="5" t="s">
        <v>58</v>
      </c>
      <c r="E4175" s="5" t="s">
        <v>699</v>
      </c>
      <c r="F4175" s="9">
        <v>2</v>
      </c>
      <c r="G4175" s="9">
        <v>13</v>
      </c>
      <c r="H4175" s="5" t="s">
        <v>20</v>
      </c>
      <c r="I4175" s="5" t="s">
        <v>9945</v>
      </c>
      <c r="J4175" s="12" t="str">
        <f>HYPERLINK("https://www.boe.es/gazeta/dias/1804/01/06/pdfs/GMD-1804-2.pdf#page=1","Abrir facsímil")</f>
        <v>Abrir facsímil</v>
      </c>
      <c r="K4175" s="15" t="s">
        <v>22</v>
      </c>
    </row>
    <row r="4176" spans="1:11" ht="42" customHeight="1">
      <c r="A4176" s="4" t="s">
        <v>9944</v>
      </c>
      <c r="B4176" s="5" t="s">
        <v>9944</v>
      </c>
      <c r="C4176" s="5" t="s">
        <v>57</v>
      </c>
      <c r="D4176" s="5" t="s">
        <v>58</v>
      </c>
      <c r="E4176" s="5" t="s">
        <v>147</v>
      </c>
      <c r="F4176" s="9">
        <v>77</v>
      </c>
      <c r="G4176" s="9">
        <v>853</v>
      </c>
      <c r="H4176" s="5" t="s">
        <v>20</v>
      </c>
      <c r="I4176" s="5" t="s">
        <v>9946</v>
      </c>
      <c r="J4176" s="12" t="str">
        <f>HYPERLINK("https://www.boe.es/gazeta/dias/1804/09/25/pdfs/GMD-1804-77.pdf#page=3","Abrir facsímil")</f>
        <v>Abrir facsímil</v>
      </c>
      <c r="K4176" s="15" t="s">
        <v>22</v>
      </c>
    </row>
    <row r="4177" spans="1:11" ht="42" customHeight="1">
      <c r="A4177" s="4" t="s">
        <v>9947</v>
      </c>
      <c r="B4177" s="5" t="s">
        <v>9947</v>
      </c>
      <c r="C4177" s="5" t="s">
        <v>57</v>
      </c>
      <c r="D4177" s="5" t="s">
        <v>58</v>
      </c>
      <c r="E4177" s="5" t="s">
        <v>241</v>
      </c>
      <c r="F4177" s="9">
        <v>71</v>
      </c>
      <c r="G4177" s="9">
        <v>788</v>
      </c>
      <c r="H4177" s="5" t="s">
        <v>20</v>
      </c>
      <c r="I4177" s="5" t="s">
        <v>9948</v>
      </c>
      <c r="J4177" s="12" t="str">
        <f>HYPERLINK("https://www.boe.es/gazeta/dias/1804/09/04/pdfs/GMD-1804-71.pdf#page=2","Abrir facsímil")</f>
        <v>Abrir facsímil</v>
      </c>
      <c r="K4177" s="15" t="s">
        <v>22</v>
      </c>
    </row>
    <row r="4178" spans="1:11" ht="42" customHeight="1">
      <c r="A4178" s="4" t="s">
        <v>9949</v>
      </c>
      <c r="B4178" s="5" t="s">
        <v>9950</v>
      </c>
      <c r="C4178" s="5" t="s">
        <v>17</v>
      </c>
      <c r="D4178" s="5" t="s">
        <v>18</v>
      </c>
      <c r="E4178" s="5" t="s">
        <v>159</v>
      </c>
      <c r="F4178" s="9">
        <v>15</v>
      </c>
      <c r="G4178" s="9">
        <v>163</v>
      </c>
      <c r="H4178" s="5" t="s">
        <v>20</v>
      </c>
      <c r="I4178" s="5" t="s">
        <v>9951</v>
      </c>
      <c r="J4178" s="12" t="str">
        <f>HYPERLINK("https://www.boe.es/gazeta/dias/1804/02/21/pdfs/GMD-1804-15.pdf#page=7","Abrir facsímil")</f>
        <v>Abrir facsímil</v>
      </c>
      <c r="K4178" s="15" t="s">
        <v>22</v>
      </c>
    </row>
    <row r="4179" spans="1:11" ht="42" customHeight="1">
      <c r="A4179" s="4" t="s">
        <v>9952</v>
      </c>
      <c r="B4179" s="5" t="s">
        <v>9953</v>
      </c>
      <c r="C4179" s="5" t="s">
        <v>17</v>
      </c>
      <c r="D4179" s="5" t="s">
        <v>18</v>
      </c>
      <c r="E4179" s="5" t="s">
        <v>367</v>
      </c>
      <c r="F4179" s="9">
        <v>64</v>
      </c>
      <c r="G4179" s="9">
        <v>716</v>
      </c>
      <c r="H4179" s="5" t="s">
        <v>20</v>
      </c>
      <c r="I4179" s="5" t="s">
        <v>9954</v>
      </c>
      <c r="J4179" s="12" t="str">
        <f>HYPERLINK("https://www.boe.es/gazeta/dias/1804/08/10/pdfs/GMD-1804-64.pdf#page=10","Abrir facsímil")</f>
        <v>Abrir facsímil</v>
      </c>
      <c r="K4179" s="15" t="s">
        <v>22</v>
      </c>
    </row>
    <row r="4180" spans="1:11" ht="42" customHeight="1">
      <c r="A4180" s="4" t="s">
        <v>9955</v>
      </c>
      <c r="B4180" s="5" t="s">
        <v>9956</v>
      </c>
      <c r="C4180" s="5" t="s">
        <v>27</v>
      </c>
      <c r="D4180" s="5" t="s">
        <v>28</v>
      </c>
      <c r="E4180" s="5" t="s">
        <v>272</v>
      </c>
      <c r="F4180" s="9">
        <v>30</v>
      </c>
      <c r="G4180" s="9">
        <v>332</v>
      </c>
      <c r="H4180" s="5" t="s">
        <v>20</v>
      </c>
      <c r="I4180" s="5" t="s">
        <v>9957</v>
      </c>
      <c r="J4180" s="12" t="str">
        <f>HYPERLINK("https://www.boe.es/gazeta/dias/1804/04/13/pdfs/GMD-1804-30.pdf#page=10","Abrir facsímil")</f>
        <v>Abrir facsímil</v>
      </c>
      <c r="K4180" s="15" t="s">
        <v>22</v>
      </c>
    </row>
    <row r="4181" spans="1:11" ht="42" customHeight="1">
      <c r="A4181" s="4" t="s">
        <v>9958</v>
      </c>
      <c r="B4181" s="5" t="s">
        <v>9959</v>
      </c>
      <c r="C4181" s="5" t="s">
        <v>27</v>
      </c>
      <c r="D4181" s="5" t="s">
        <v>28</v>
      </c>
      <c r="E4181" s="5" t="s">
        <v>212</v>
      </c>
      <c r="F4181" s="9">
        <v>89</v>
      </c>
      <c r="G4181" s="9">
        <v>990</v>
      </c>
      <c r="H4181" s="5" t="s">
        <v>20</v>
      </c>
      <c r="I4181" s="5" t="s">
        <v>9960</v>
      </c>
      <c r="J4181" s="12" t="str">
        <f>HYPERLINK("https://www.boe.es/gazeta/dias/1804/11/06/pdfs/GMD-1804-89.pdf#page=10","Abrir facsímil")</f>
        <v>Abrir facsímil</v>
      </c>
      <c r="K4181" s="15" t="s">
        <v>22</v>
      </c>
    </row>
    <row r="4182" spans="1:11" ht="42" customHeight="1">
      <c r="A4182" s="4" t="s">
        <v>9961</v>
      </c>
      <c r="B4182" s="5" t="s">
        <v>9962</v>
      </c>
      <c r="C4182" s="5" t="s">
        <v>17</v>
      </c>
      <c r="D4182" s="5" t="s">
        <v>18</v>
      </c>
      <c r="E4182" s="5" t="s">
        <v>251</v>
      </c>
      <c r="F4182" s="9">
        <v>79</v>
      </c>
      <c r="G4182" s="9">
        <v>881</v>
      </c>
      <c r="H4182" s="5" t="s">
        <v>20</v>
      </c>
      <c r="I4182" s="5" t="s">
        <v>9963</v>
      </c>
      <c r="J4182" s="12" t="str">
        <f>HYPERLINK("https://www.boe.es/gazeta/dias/1804/10/02/pdfs/GMD-1804-79.pdf#page=11","Abrir facsímil")</f>
        <v>Abrir facsímil</v>
      </c>
      <c r="K4182" s="15" t="s">
        <v>22</v>
      </c>
    </row>
    <row r="4183" spans="1:11" ht="42" customHeight="1">
      <c r="A4183" s="4" t="s">
        <v>9964</v>
      </c>
      <c r="B4183" s="5" t="s">
        <v>9965</v>
      </c>
      <c r="C4183" s="5" t="s">
        <v>57</v>
      </c>
      <c r="D4183" s="5" t="s">
        <v>58</v>
      </c>
      <c r="E4183" s="5" t="s">
        <v>587</v>
      </c>
      <c r="F4183" s="9">
        <v>62</v>
      </c>
      <c r="G4183" s="9">
        <v>682</v>
      </c>
      <c r="H4183" s="5" t="s">
        <v>20</v>
      </c>
      <c r="I4183" s="5" t="s">
        <v>9966</v>
      </c>
      <c r="J4183" s="12" t="str">
        <f>HYPERLINK("https://www.boe.es/gazeta/dias/1804/08/03/pdfs/GMD-1804-62.pdf#page=4","Abrir facsímil")</f>
        <v>Abrir facsímil</v>
      </c>
      <c r="K4183" s="15" t="s">
        <v>22</v>
      </c>
    </row>
    <row r="4184" spans="1:11" ht="42" customHeight="1">
      <c r="A4184" s="4" t="s">
        <v>9967</v>
      </c>
      <c r="B4184" s="5" t="s">
        <v>9968</v>
      </c>
      <c r="C4184" s="5" t="s">
        <v>65</v>
      </c>
      <c r="D4184" s="5" t="s">
        <v>66</v>
      </c>
      <c r="E4184" s="5" t="s">
        <v>326</v>
      </c>
      <c r="F4184" s="9">
        <v>69</v>
      </c>
      <c r="G4184" s="9">
        <v>774</v>
      </c>
      <c r="H4184" s="5" t="s">
        <v>20</v>
      </c>
      <c r="I4184" s="5" t="s">
        <v>9969</v>
      </c>
      <c r="J4184" s="12" t="str">
        <f>HYPERLINK("https://www.boe.es/gazeta/dias/1804/08/28/pdfs/GMD-1804-69.pdf#page=8","Abrir facsímil")</f>
        <v>Abrir facsímil</v>
      </c>
      <c r="K4184" s="15" t="s">
        <v>22</v>
      </c>
    </row>
    <row r="4185" spans="1:11" ht="42" customHeight="1">
      <c r="A4185" s="4" t="s">
        <v>9970</v>
      </c>
      <c r="B4185" s="5" t="s">
        <v>9971</v>
      </c>
      <c r="C4185" s="5" t="s">
        <v>17</v>
      </c>
      <c r="D4185" s="5" t="s">
        <v>18</v>
      </c>
      <c r="E4185" s="5" t="s">
        <v>421</v>
      </c>
      <c r="F4185" s="9">
        <v>47</v>
      </c>
      <c r="G4185" s="9">
        <v>529</v>
      </c>
      <c r="H4185" s="5" t="s">
        <v>20</v>
      </c>
      <c r="I4185" s="5" t="s">
        <v>9972</v>
      </c>
      <c r="J4185" s="12" t="str">
        <f>HYPERLINK("https://www.boe.es/gazeta/dias/1804/06/12/pdfs/GMD-1804-47.pdf#page=11","Abrir facsímil")</f>
        <v>Abrir facsímil</v>
      </c>
      <c r="K4185" s="15" t="s">
        <v>22</v>
      </c>
    </row>
    <row r="4186" spans="1:11" ht="42" customHeight="1">
      <c r="A4186" s="4" t="s">
        <v>9973</v>
      </c>
      <c r="B4186" s="5" t="s">
        <v>9974</v>
      </c>
      <c r="C4186" s="5" t="s">
        <v>27</v>
      </c>
      <c r="D4186" s="5" t="s">
        <v>28</v>
      </c>
      <c r="E4186" s="5" t="s">
        <v>272</v>
      </c>
      <c r="F4186" s="9">
        <v>30</v>
      </c>
      <c r="G4186" s="9">
        <v>332</v>
      </c>
      <c r="H4186" s="5" t="s">
        <v>20</v>
      </c>
      <c r="I4186" s="5" t="s">
        <v>9975</v>
      </c>
      <c r="J4186" s="12" t="str">
        <f>HYPERLINK("https://www.boe.es/gazeta/dias/1804/04/13/pdfs/GMD-1804-30.pdf#page=10","Abrir facsímil")</f>
        <v>Abrir facsímil</v>
      </c>
      <c r="K4186" s="15" t="s">
        <v>22</v>
      </c>
    </row>
    <row r="4187" spans="1:11" ht="42" customHeight="1">
      <c r="A4187" s="4" t="s">
        <v>9976</v>
      </c>
      <c r="B4187" s="5" t="s">
        <v>9977</v>
      </c>
      <c r="C4187" s="5" t="s">
        <v>57</v>
      </c>
      <c r="D4187" s="5" t="s">
        <v>58</v>
      </c>
      <c r="E4187" s="5" t="s">
        <v>326</v>
      </c>
      <c r="F4187" s="9">
        <v>69</v>
      </c>
      <c r="G4187" s="9">
        <v>772</v>
      </c>
      <c r="H4187" s="5" t="s">
        <v>20</v>
      </c>
      <c r="I4187" s="5" t="s">
        <v>9978</v>
      </c>
      <c r="J4187" s="12" t="str">
        <f>HYPERLINK("https://www.boe.es/gazeta/dias/1804/08/28/pdfs/GMD-1804-69.pdf#page=6","Abrir facsímil")</f>
        <v>Abrir facsímil</v>
      </c>
      <c r="K4187" s="15" t="s">
        <v>22</v>
      </c>
    </row>
    <row r="4188" spans="1:11" ht="42" customHeight="1">
      <c r="A4188" s="4" t="s">
        <v>9979</v>
      </c>
      <c r="B4188" s="5" t="s">
        <v>9980</v>
      </c>
      <c r="C4188" s="5" t="s">
        <v>65</v>
      </c>
      <c r="D4188" s="5" t="s">
        <v>66</v>
      </c>
      <c r="E4188" s="5" t="s">
        <v>251</v>
      </c>
      <c r="F4188" s="9">
        <v>79</v>
      </c>
      <c r="G4188" s="9">
        <v>879</v>
      </c>
      <c r="H4188" s="5" t="s">
        <v>20</v>
      </c>
      <c r="I4188" s="5" t="s">
        <v>9981</v>
      </c>
      <c r="J4188" s="12" t="str">
        <f>HYPERLINK("https://www.boe.es/gazeta/dias/1804/10/02/pdfs/GMD-1804-79.pdf#page=9","Abrir facsímil")</f>
        <v>Abrir facsímil</v>
      </c>
      <c r="K4188" s="15" t="s">
        <v>22</v>
      </c>
    </row>
    <row r="4189" spans="1:11" ht="42" customHeight="1">
      <c r="A4189" s="4" t="s">
        <v>9982</v>
      </c>
      <c r="B4189" s="5" t="s">
        <v>9983</v>
      </c>
      <c r="C4189" s="5" t="s">
        <v>27</v>
      </c>
      <c r="D4189" s="5" t="s">
        <v>28</v>
      </c>
      <c r="E4189" s="5" t="s">
        <v>1095</v>
      </c>
      <c r="F4189" s="9">
        <v>73</v>
      </c>
      <c r="G4189" s="9">
        <v>819</v>
      </c>
      <c r="H4189" s="5" t="s">
        <v>20</v>
      </c>
      <c r="I4189" s="5" t="s">
        <v>9984</v>
      </c>
      <c r="J4189" s="12" t="str">
        <f>HYPERLINK("https://www.boe.es/gazeta/dias/1804/09/11/pdfs/GMD-1804-73.pdf#page=9","Abrir facsímil")</f>
        <v>Abrir facsímil</v>
      </c>
      <c r="K4189" s="15" t="s">
        <v>22</v>
      </c>
    </row>
    <row r="4190" spans="1:11" ht="42" customHeight="1">
      <c r="A4190" s="4" t="s">
        <v>9985</v>
      </c>
      <c r="B4190" s="5" t="s">
        <v>9986</v>
      </c>
      <c r="C4190" s="5" t="s">
        <v>85</v>
      </c>
      <c r="D4190" s="5" t="s">
        <v>86</v>
      </c>
      <c r="E4190" s="5" t="s">
        <v>857</v>
      </c>
      <c r="F4190" s="9">
        <v>28</v>
      </c>
      <c r="G4190" s="9">
        <v>310</v>
      </c>
      <c r="H4190" s="5" t="s">
        <v>20</v>
      </c>
      <c r="I4190" s="5" t="s">
        <v>9987</v>
      </c>
      <c r="J4190" s="12" t="str">
        <f>HYPERLINK("https://www.boe.es/gazeta/dias/1804/04/06/pdfs/GMD-1804-28.pdf#page=8","Abrir facsímil")</f>
        <v>Abrir facsímil</v>
      </c>
      <c r="K4190" s="15" t="s">
        <v>22</v>
      </c>
    </row>
    <row r="4191" spans="1:11" ht="42" customHeight="1">
      <c r="A4191" s="4" t="s">
        <v>9988</v>
      </c>
      <c r="B4191" s="5" t="s">
        <v>9988</v>
      </c>
      <c r="C4191" s="5" t="s">
        <v>85</v>
      </c>
      <c r="D4191" s="5" t="s">
        <v>86</v>
      </c>
      <c r="E4191" s="5" t="s">
        <v>678</v>
      </c>
      <c r="F4191" s="9">
        <v>104</v>
      </c>
      <c r="G4191" s="9">
        <v>1156</v>
      </c>
      <c r="H4191" s="5" t="s">
        <v>20</v>
      </c>
      <c r="I4191" s="5" t="s">
        <v>9989</v>
      </c>
      <c r="J4191" s="12" t="str">
        <f>HYPERLINK("https://www.boe.es/gazeta/dias/1804/12/28/pdfs/GMD-1804-104.pdf#page=4","Abrir facsímil")</f>
        <v>Abrir facsímil</v>
      </c>
      <c r="K4191" s="15" t="s">
        <v>22</v>
      </c>
    </row>
    <row r="4192" spans="1:11" ht="42" customHeight="1">
      <c r="A4192" s="4" t="s">
        <v>9990</v>
      </c>
      <c r="B4192" s="5" t="s">
        <v>9991</v>
      </c>
      <c r="C4192" s="5" t="s">
        <v>120</v>
      </c>
      <c r="D4192" s="5" t="s">
        <v>121</v>
      </c>
      <c r="E4192" s="5" t="s">
        <v>33</v>
      </c>
      <c r="F4192" s="9">
        <v>48</v>
      </c>
      <c r="G4192" s="9" t="s">
        <v>122</v>
      </c>
      <c r="H4192" s="5" t="s">
        <v>20</v>
      </c>
      <c r="I4192" s="5" t="s">
        <v>9992</v>
      </c>
      <c r="J4192" s="12" t="str">
        <f>HYPERLINK("https://www.boe.es/gazeta/dias/1804/06/15/pdfs/GMD-C-1804-48.pdf#page=3","Abrir facsímil")</f>
        <v>Abrir facsímil</v>
      </c>
      <c r="K4192" s="15" t="s">
        <v>22</v>
      </c>
    </row>
    <row r="4193" spans="1:11" ht="42" customHeight="1">
      <c r="A4193" s="4" t="s">
        <v>9993</v>
      </c>
      <c r="B4193" s="5" t="s">
        <v>9994</v>
      </c>
      <c r="C4193" s="5" t="s">
        <v>27</v>
      </c>
      <c r="D4193" s="5" t="s">
        <v>28</v>
      </c>
      <c r="E4193" s="5" t="s">
        <v>264</v>
      </c>
      <c r="F4193" s="9">
        <v>49</v>
      </c>
      <c r="G4193" s="9">
        <v>544</v>
      </c>
      <c r="H4193" s="5" t="s">
        <v>20</v>
      </c>
      <c r="I4193" s="5" t="s">
        <v>9995</v>
      </c>
      <c r="J4193" s="12" t="str">
        <f>HYPERLINK("https://www.boe.es/gazeta/dias/1804/06/19/pdfs/GMD-1804-49.pdf#page=6","Abrir facsímil")</f>
        <v>Abrir facsímil</v>
      </c>
      <c r="K4193" s="15" t="s">
        <v>22</v>
      </c>
    </row>
    <row r="4194" spans="1:11" ht="42" customHeight="1">
      <c r="A4194" s="4" t="s">
        <v>9996</v>
      </c>
      <c r="B4194" s="5" t="s">
        <v>9997</v>
      </c>
      <c r="C4194" s="5" t="s">
        <v>27</v>
      </c>
      <c r="D4194" s="5" t="s">
        <v>28</v>
      </c>
      <c r="E4194" s="5" t="s">
        <v>241</v>
      </c>
      <c r="F4194" s="9">
        <v>71</v>
      </c>
      <c r="G4194" s="9">
        <v>791</v>
      </c>
      <c r="H4194" s="5" t="s">
        <v>20</v>
      </c>
      <c r="I4194" s="5" t="s">
        <v>9998</v>
      </c>
      <c r="J4194" s="12" t="str">
        <f>HYPERLINK("https://www.boe.es/gazeta/dias/1804/09/04/pdfs/GMD-1804-71.pdf#page=5","Abrir facsímil")</f>
        <v>Abrir facsímil</v>
      </c>
      <c r="K4194" s="15" t="s">
        <v>22</v>
      </c>
    </row>
    <row r="4195" spans="1:11" ht="42" customHeight="1">
      <c r="A4195" s="4" t="s">
        <v>9999</v>
      </c>
      <c r="B4195" s="5" t="s">
        <v>10000</v>
      </c>
      <c r="C4195" s="5" t="s">
        <v>27</v>
      </c>
      <c r="D4195" s="5" t="s">
        <v>28</v>
      </c>
      <c r="E4195" s="5" t="s">
        <v>47</v>
      </c>
      <c r="F4195" s="9">
        <v>78</v>
      </c>
      <c r="G4195" s="9">
        <v>868</v>
      </c>
      <c r="H4195" s="5" t="s">
        <v>20</v>
      </c>
      <c r="I4195" s="5" t="s">
        <v>10001</v>
      </c>
      <c r="J4195" s="12" t="str">
        <f>HYPERLINK("https://www.boe.es/gazeta/dias/1804/09/28/pdfs/GMD-1804-78.pdf#page=6","Abrir facsímil")</f>
        <v>Abrir facsímil</v>
      </c>
      <c r="K4195" s="15" t="s">
        <v>22</v>
      </c>
    </row>
    <row r="4196" spans="1:11" ht="42" customHeight="1">
      <c r="A4196" s="4" t="s">
        <v>10002</v>
      </c>
      <c r="B4196" s="5" t="s">
        <v>10003</v>
      </c>
      <c r="C4196" s="5" t="s">
        <v>120</v>
      </c>
      <c r="D4196" s="5" t="s">
        <v>121</v>
      </c>
      <c r="E4196" s="5" t="s">
        <v>33</v>
      </c>
      <c r="F4196" s="9">
        <v>48</v>
      </c>
      <c r="G4196" s="9" t="s">
        <v>819</v>
      </c>
      <c r="H4196" s="5" t="s">
        <v>20</v>
      </c>
      <c r="I4196" s="5" t="s">
        <v>10004</v>
      </c>
      <c r="J4196" s="12" t="str">
        <f>HYPERLINK("https://www.boe.es/gazeta/dias/1804/06/15/pdfs/GMD-C-1804-48.pdf#page=4","Abrir facsímil")</f>
        <v>Abrir facsímil</v>
      </c>
      <c r="K4196" s="15" t="s">
        <v>22</v>
      </c>
    </row>
    <row r="4197" spans="1:11" ht="42" customHeight="1">
      <c r="A4197" s="4" t="s">
        <v>10005</v>
      </c>
      <c r="B4197" s="5" t="s">
        <v>10006</v>
      </c>
      <c r="C4197" s="5" t="s">
        <v>27</v>
      </c>
      <c r="D4197" s="5" t="s">
        <v>28</v>
      </c>
      <c r="E4197" s="5" t="s">
        <v>453</v>
      </c>
      <c r="F4197" s="9">
        <v>33</v>
      </c>
      <c r="G4197" s="9">
        <v>366</v>
      </c>
      <c r="H4197" s="5" t="s">
        <v>20</v>
      </c>
      <c r="I4197" s="5" t="s">
        <v>10007</v>
      </c>
      <c r="J4197" s="12" t="str">
        <f>HYPERLINK("https://www.boe.es/gazeta/dias/1804/04/24/pdfs/GMD-1804-33.pdf#page=8","Abrir facsímil")</f>
        <v>Abrir facsímil</v>
      </c>
      <c r="K4197" s="15" t="s">
        <v>22</v>
      </c>
    </row>
    <row r="4198" spans="1:11" ht="42" customHeight="1">
      <c r="A4198" s="4" t="s">
        <v>10008</v>
      </c>
      <c r="B4198" s="5" t="s">
        <v>10009</v>
      </c>
      <c r="C4198" s="5" t="s">
        <v>65</v>
      </c>
      <c r="D4198" s="5" t="s">
        <v>66</v>
      </c>
      <c r="E4198" s="5" t="s">
        <v>302</v>
      </c>
      <c r="F4198" s="9">
        <v>3</v>
      </c>
      <c r="G4198" s="9">
        <v>27</v>
      </c>
      <c r="H4198" s="5" t="s">
        <v>20</v>
      </c>
      <c r="I4198" s="5" t="s">
        <v>10010</v>
      </c>
      <c r="J4198" s="12" t="str">
        <f>HYPERLINK("https://www.boe.es/gazeta/dias/1804/01/10/pdfs/GMD-1804-3.pdf#page=7","Abrir facsímil")</f>
        <v>Abrir facsímil</v>
      </c>
      <c r="K4198" s="15" t="s">
        <v>22</v>
      </c>
    </row>
    <row r="4199" spans="1:11" ht="42" customHeight="1">
      <c r="A4199" s="4" t="s">
        <v>10011</v>
      </c>
      <c r="B4199" s="5" t="s">
        <v>10012</v>
      </c>
      <c r="C4199" s="5" t="s">
        <v>27</v>
      </c>
      <c r="D4199" s="5" t="s">
        <v>28</v>
      </c>
      <c r="E4199" s="5" t="s">
        <v>41</v>
      </c>
      <c r="F4199" s="9">
        <v>24</v>
      </c>
      <c r="G4199" s="9">
        <v>276</v>
      </c>
      <c r="H4199" s="5" t="s">
        <v>20</v>
      </c>
      <c r="I4199" s="5" t="s">
        <v>10013</v>
      </c>
      <c r="J4199" s="12" t="str">
        <f>HYPERLINK("https://www.boe.es/gazeta/dias/1804/03/23/pdfs/GMD-1804-24.pdf#page=10","Abrir facsímil")</f>
        <v>Abrir facsímil</v>
      </c>
      <c r="K4199" s="15" t="s">
        <v>22</v>
      </c>
    </row>
    <row r="4200" spans="1:11" ht="42" customHeight="1">
      <c r="A4200" s="4" t="s">
        <v>10014</v>
      </c>
      <c r="B4200" s="5" t="s">
        <v>10014</v>
      </c>
      <c r="C4200" s="5" t="s">
        <v>27</v>
      </c>
      <c r="D4200" s="5" t="s">
        <v>28</v>
      </c>
      <c r="E4200" s="5" t="s">
        <v>272</v>
      </c>
      <c r="F4200" s="9">
        <v>30</v>
      </c>
      <c r="G4200" s="9">
        <v>331</v>
      </c>
      <c r="H4200" s="5" t="s">
        <v>20</v>
      </c>
      <c r="I4200" s="5" t="s">
        <v>10015</v>
      </c>
      <c r="J4200" s="12" t="str">
        <f>HYPERLINK("https://www.boe.es/gazeta/dias/1804/04/13/pdfs/GMD-1804-30.pdf#page=9","Abrir facsímil")</f>
        <v>Abrir facsímil</v>
      </c>
      <c r="K4200" s="15" t="s">
        <v>22</v>
      </c>
    </row>
    <row r="4201" spans="1:11" ht="42" customHeight="1">
      <c r="A4201" s="4" t="s">
        <v>10016</v>
      </c>
      <c r="B4201" s="5" t="s">
        <v>10017</v>
      </c>
      <c r="C4201" s="5" t="s">
        <v>17</v>
      </c>
      <c r="D4201" s="5" t="s">
        <v>18</v>
      </c>
      <c r="E4201" s="5" t="s">
        <v>43</v>
      </c>
      <c r="F4201" s="9">
        <v>84</v>
      </c>
      <c r="G4201" s="9">
        <v>930</v>
      </c>
      <c r="H4201" s="5" t="s">
        <v>20</v>
      </c>
      <c r="I4201" s="5" t="s">
        <v>10018</v>
      </c>
      <c r="J4201" s="12" t="str">
        <f>HYPERLINK("https://www.boe.es/gazeta/dias/1804/10/19/pdfs/GMD-1804-84.pdf#page=8","Abrir facsímil")</f>
        <v>Abrir facsímil</v>
      </c>
      <c r="K4201" s="15" t="s">
        <v>22</v>
      </c>
    </row>
    <row r="4202" spans="1:11" ht="42" customHeight="1">
      <c r="A4202" s="4" t="s">
        <v>10019</v>
      </c>
      <c r="B4202" s="5" t="s">
        <v>10020</v>
      </c>
      <c r="C4202" s="5" t="s">
        <v>85</v>
      </c>
      <c r="D4202" s="5" t="s">
        <v>86</v>
      </c>
      <c r="E4202" s="5" t="s">
        <v>59</v>
      </c>
      <c r="F4202" s="9">
        <v>55</v>
      </c>
      <c r="G4202" s="9">
        <v>605</v>
      </c>
      <c r="H4202" s="5" t="s">
        <v>20</v>
      </c>
      <c r="I4202" s="5" t="s">
        <v>10021</v>
      </c>
      <c r="J4202" s="12" t="str">
        <f>HYPERLINK("https://www.boe.es/gazeta/dias/1804/07/10/pdfs/GMD-1804-55.pdf#page=3","Abrir facsímil")</f>
        <v>Abrir facsímil</v>
      </c>
      <c r="K4202" s="15" t="s">
        <v>22</v>
      </c>
    </row>
    <row r="4203" spans="1:11" ht="42" customHeight="1">
      <c r="A4203" s="4" t="s">
        <v>10022</v>
      </c>
      <c r="B4203" s="5" t="s">
        <v>10023</v>
      </c>
      <c r="C4203" s="5" t="s">
        <v>27</v>
      </c>
      <c r="D4203" s="5" t="s">
        <v>28</v>
      </c>
      <c r="E4203" s="5" t="s">
        <v>191</v>
      </c>
      <c r="F4203" s="9">
        <v>101</v>
      </c>
      <c r="G4203" s="9">
        <v>1128</v>
      </c>
      <c r="H4203" s="5" t="s">
        <v>20</v>
      </c>
      <c r="I4203" s="5" t="s">
        <v>10024</v>
      </c>
      <c r="J4203" s="12" t="str">
        <f>HYPERLINK("https://www.boe.es/gazeta/dias/1804/12/18/pdfs/GMD-1804-101.pdf#page=8","Abrir facsímil")</f>
        <v>Abrir facsímil</v>
      </c>
      <c r="K4203" s="15" t="s">
        <v>22</v>
      </c>
    </row>
    <row r="4204" spans="1:11" ht="42" customHeight="1">
      <c r="A4204" s="4" t="s">
        <v>10025</v>
      </c>
      <c r="B4204" s="5" t="s">
        <v>10026</v>
      </c>
      <c r="C4204" s="5" t="s">
        <v>27</v>
      </c>
      <c r="D4204" s="5" t="s">
        <v>28</v>
      </c>
      <c r="E4204" s="5" t="s">
        <v>50</v>
      </c>
      <c r="F4204" s="9">
        <v>93</v>
      </c>
      <c r="G4204" s="9">
        <v>1030</v>
      </c>
      <c r="H4204" s="5" t="s">
        <v>20</v>
      </c>
      <c r="I4204" s="5" t="s">
        <v>10027</v>
      </c>
      <c r="J4204" s="12" t="str">
        <f>HYPERLINK("https://www.boe.es/gazeta/dias/1804/11/20/pdfs/GMD-1804-93.pdf#page=6","Abrir facsímil")</f>
        <v>Abrir facsímil</v>
      </c>
      <c r="K4204" s="15" t="s">
        <v>22</v>
      </c>
    </row>
    <row r="4205" spans="1:11" ht="42" customHeight="1">
      <c r="A4205" s="4" t="s">
        <v>10028</v>
      </c>
      <c r="B4205" s="5" t="s">
        <v>10029</v>
      </c>
      <c r="C4205" s="5" t="s">
        <v>17</v>
      </c>
      <c r="D4205" s="5" t="s">
        <v>18</v>
      </c>
      <c r="E4205" s="5" t="s">
        <v>71</v>
      </c>
      <c r="F4205" s="9">
        <v>99</v>
      </c>
      <c r="G4205" s="9">
        <v>1107</v>
      </c>
      <c r="H4205" s="5" t="s">
        <v>20</v>
      </c>
      <c r="I4205" s="5" t="s">
        <v>10030</v>
      </c>
      <c r="J4205" s="12" t="str">
        <f>HYPERLINK("https://www.boe.es/gazeta/dias/1804/12/11/pdfs/GMD-1804-99.pdf#page=7","Abrir facsímil")</f>
        <v>Abrir facsímil</v>
      </c>
      <c r="K4205" s="15" t="s">
        <v>22</v>
      </c>
    </row>
    <row r="4206" spans="1:11" ht="42" customHeight="1">
      <c r="A4206" s="4" t="s">
        <v>10031</v>
      </c>
      <c r="B4206" s="5" t="s">
        <v>10032</v>
      </c>
      <c r="C4206" s="5" t="s">
        <v>27</v>
      </c>
      <c r="D4206" s="5" t="s">
        <v>28</v>
      </c>
      <c r="E4206" s="5" t="s">
        <v>258</v>
      </c>
      <c r="F4206" s="9">
        <v>14</v>
      </c>
      <c r="G4206" s="9">
        <v>153</v>
      </c>
      <c r="H4206" s="5" t="s">
        <v>20</v>
      </c>
      <c r="I4206" s="5" t="s">
        <v>10033</v>
      </c>
      <c r="J4206" s="12" t="str">
        <f>HYPERLINK("https://www.boe.es/gazeta/dias/1804/02/17/pdfs/GMD-1804-14.pdf#page=9","Abrir facsímil")</f>
        <v>Abrir facsímil</v>
      </c>
      <c r="K4206" s="15" t="s">
        <v>22</v>
      </c>
    </row>
    <row r="4207" spans="1:11" ht="42" customHeight="1">
      <c r="A4207" s="4" t="s">
        <v>10034</v>
      </c>
      <c r="B4207" s="5" t="s">
        <v>10035</v>
      </c>
      <c r="C4207" s="5" t="s">
        <v>17</v>
      </c>
      <c r="D4207" s="5" t="s">
        <v>18</v>
      </c>
      <c r="E4207" s="5" t="s">
        <v>71</v>
      </c>
      <c r="F4207" s="9">
        <v>99</v>
      </c>
      <c r="G4207" s="9">
        <v>1107</v>
      </c>
      <c r="H4207" s="5" t="s">
        <v>20</v>
      </c>
      <c r="I4207" s="5" t="s">
        <v>10036</v>
      </c>
      <c r="J4207" s="12" t="str">
        <f>HYPERLINK("https://www.boe.es/gazeta/dias/1804/12/11/pdfs/GMD-1804-99.pdf#page=7","Abrir facsímil")</f>
        <v>Abrir facsímil</v>
      </c>
      <c r="K4207" s="15" t="s">
        <v>22</v>
      </c>
    </row>
    <row r="4208" spans="1:11" ht="42" customHeight="1">
      <c r="A4208" s="4" t="s">
        <v>10037</v>
      </c>
      <c r="B4208" s="5" t="s">
        <v>10038</v>
      </c>
      <c r="C4208" s="5" t="s">
        <v>27</v>
      </c>
      <c r="D4208" s="5" t="s">
        <v>28</v>
      </c>
      <c r="E4208" s="5" t="s">
        <v>206</v>
      </c>
      <c r="F4208" s="9">
        <v>44</v>
      </c>
      <c r="G4208" s="9">
        <v>488</v>
      </c>
      <c r="H4208" s="5" t="s">
        <v>20</v>
      </c>
      <c r="I4208" s="5" t="s">
        <v>10039</v>
      </c>
      <c r="J4208" s="12" t="str">
        <f>HYPERLINK("https://www.boe.es/gazeta/dias/1804/06/01/pdfs/GMD-1804-44.pdf#page=6","Abrir facsímil")</f>
        <v>Abrir facsímil</v>
      </c>
      <c r="K4208" s="15" t="s">
        <v>22</v>
      </c>
    </row>
    <row r="4209" spans="1:11" ht="42" customHeight="1">
      <c r="A4209" s="4" t="s">
        <v>10040</v>
      </c>
      <c r="B4209" s="5" t="s">
        <v>10041</v>
      </c>
      <c r="C4209" s="5" t="s">
        <v>27</v>
      </c>
      <c r="D4209" s="5" t="s">
        <v>28</v>
      </c>
      <c r="E4209" s="5" t="s">
        <v>479</v>
      </c>
      <c r="F4209" s="9">
        <v>5</v>
      </c>
      <c r="G4209" s="9">
        <v>47</v>
      </c>
      <c r="H4209" s="5" t="s">
        <v>20</v>
      </c>
      <c r="I4209" s="5" t="s">
        <v>10042</v>
      </c>
      <c r="J4209" s="12" t="str">
        <f>HYPERLINK("https://www.boe.es/gazeta/dias/1804/01/17/pdfs/GMD-1804-5.pdf#page=7","Abrir facsímil")</f>
        <v>Abrir facsímil</v>
      </c>
      <c r="K4209" s="15" t="s">
        <v>22</v>
      </c>
    </row>
    <row r="4210" spans="1:11" ht="42" customHeight="1">
      <c r="A4210" s="4" t="s">
        <v>10043</v>
      </c>
      <c r="B4210" s="5" t="s">
        <v>10044</v>
      </c>
      <c r="C4210" s="5" t="s">
        <v>27</v>
      </c>
      <c r="D4210" s="5" t="s">
        <v>28</v>
      </c>
      <c r="E4210" s="5" t="s">
        <v>320</v>
      </c>
      <c r="F4210" s="9">
        <v>31</v>
      </c>
      <c r="G4210" s="9">
        <v>344</v>
      </c>
      <c r="H4210" s="5" t="s">
        <v>20</v>
      </c>
      <c r="I4210" s="5" t="s">
        <v>10045</v>
      </c>
      <c r="J4210" s="12" t="str">
        <f>HYPERLINK("https://www.boe.es/gazeta/dias/1804/04/17/pdfs/GMD-1804-31.pdf#page=10","Abrir facsímil")</f>
        <v>Abrir facsímil</v>
      </c>
      <c r="K4210" s="15" t="s">
        <v>22</v>
      </c>
    </row>
    <row r="4211" spans="1:11" ht="42" customHeight="1">
      <c r="A4211" s="4" t="s">
        <v>10046</v>
      </c>
      <c r="B4211" s="5" t="s">
        <v>10046</v>
      </c>
      <c r="C4211" s="5" t="s">
        <v>27</v>
      </c>
      <c r="D4211" s="5" t="s">
        <v>28</v>
      </c>
      <c r="E4211" s="5" t="s">
        <v>251</v>
      </c>
      <c r="F4211" s="9">
        <v>79</v>
      </c>
      <c r="G4211" s="9">
        <v>879</v>
      </c>
      <c r="H4211" s="5" t="s">
        <v>20</v>
      </c>
      <c r="I4211" s="5" t="s">
        <v>10047</v>
      </c>
      <c r="J4211" s="12" t="str">
        <f>HYPERLINK("https://www.boe.es/gazeta/dias/1804/10/02/pdfs/GMD-1804-79.pdf#page=9","Abrir facsímil")</f>
        <v>Abrir facsímil</v>
      </c>
      <c r="K4211" s="15" t="s">
        <v>22</v>
      </c>
    </row>
    <row r="4212" spans="1:11" ht="42" customHeight="1">
      <c r="A4212" s="4" t="s">
        <v>10046</v>
      </c>
      <c r="B4212" s="5" t="s">
        <v>10046</v>
      </c>
      <c r="C4212" s="5" t="s">
        <v>17</v>
      </c>
      <c r="D4212" s="5" t="s">
        <v>18</v>
      </c>
      <c r="E4212" s="5" t="s">
        <v>155</v>
      </c>
      <c r="F4212" s="9">
        <v>92</v>
      </c>
      <c r="G4212" s="9">
        <v>1019</v>
      </c>
      <c r="H4212" s="5" t="s">
        <v>20</v>
      </c>
      <c r="I4212" s="5" t="s">
        <v>10048</v>
      </c>
      <c r="J4212" s="12" t="str">
        <f>HYPERLINK("https://www.boe.es/gazeta/dias/1804/11/16/pdfs/GMD-1804-92.pdf#page=7","Abrir facsímil")</f>
        <v>Abrir facsímil</v>
      </c>
      <c r="K4212" s="15" t="s">
        <v>22</v>
      </c>
    </row>
    <row r="4213" spans="1:11" ht="42" customHeight="1">
      <c r="A4213" s="4" t="s">
        <v>10049</v>
      </c>
      <c r="B4213" s="5" t="s">
        <v>10049</v>
      </c>
      <c r="C4213" s="5" t="s">
        <v>17</v>
      </c>
      <c r="D4213" s="5" t="s">
        <v>18</v>
      </c>
      <c r="E4213" s="5" t="s">
        <v>37</v>
      </c>
      <c r="F4213" s="9">
        <v>29</v>
      </c>
      <c r="G4213" s="9">
        <v>318</v>
      </c>
      <c r="H4213" s="5" t="s">
        <v>20</v>
      </c>
      <c r="I4213" s="5" t="s">
        <v>10050</v>
      </c>
      <c r="J4213" s="12" t="str">
        <f>HYPERLINK("https://www.boe.es/gazeta/dias/1804/04/10/pdfs/GMD-1804-29.pdf#page=8","Abrir facsímil")</f>
        <v>Abrir facsímil</v>
      </c>
      <c r="K4213" s="15" t="s">
        <v>22</v>
      </c>
    </row>
    <row r="4214" spans="1:11" ht="42" customHeight="1">
      <c r="A4214" s="4" t="s">
        <v>10051</v>
      </c>
      <c r="B4214" s="5" t="s">
        <v>10051</v>
      </c>
      <c r="C4214" s="5" t="s">
        <v>27</v>
      </c>
      <c r="D4214" s="5" t="s">
        <v>28</v>
      </c>
      <c r="E4214" s="5" t="s">
        <v>19</v>
      </c>
      <c r="F4214" s="9">
        <v>60</v>
      </c>
      <c r="G4214" s="9">
        <v>665</v>
      </c>
      <c r="H4214" s="5" t="s">
        <v>20</v>
      </c>
      <c r="I4214" s="5" t="s">
        <v>10052</v>
      </c>
      <c r="J4214" s="12" t="str">
        <f>HYPERLINK("https://www.boe.es/gazeta/dias/1804/07/27/pdfs/GMD-1804-60.pdf#page=7","Abrir facsímil")</f>
        <v>Abrir facsímil</v>
      </c>
      <c r="K4214" s="15" t="s">
        <v>22</v>
      </c>
    </row>
    <row r="4215" spans="1:11" ht="42" customHeight="1">
      <c r="A4215" s="4" t="s">
        <v>10053</v>
      </c>
      <c r="B4215" s="5" t="s">
        <v>10054</v>
      </c>
      <c r="C4215" s="5" t="s">
        <v>17</v>
      </c>
      <c r="D4215" s="5" t="s">
        <v>18</v>
      </c>
      <c r="E4215" s="5" t="s">
        <v>87</v>
      </c>
      <c r="F4215" s="9">
        <v>9</v>
      </c>
      <c r="G4215" s="9">
        <v>98</v>
      </c>
      <c r="H4215" s="5" t="s">
        <v>20</v>
      </c>
      <c r="I4215" s="5" t="s">
        <v>10055</v>
      </c>
      <c r="J4215" s="12" t="str">
        <f>HYPERLINK("https://www.boe.es/gazeta/dias/1804/01/31/pdfs/GMD-1804-9.pdf#page=10","Abrir facsímil")</f>
        <v>Abrir facsímil</v>
      </c>
      <c r="K4215" s="15" t="s">
        <v>22</v>
      </c>
    </row>
    <row r="4216" spans="1:11" ht="42" customHeight="1">
      <c r="A4216" s="4" t="s">
        <v>10056</v>
      </c>
      <c r="B4216" s="5" t="s">
        <v>10057</v>
      </c>
      <c r="C4216" s="5" t="s">
        <v>27</v>
      </c>
      <c r="D4216" s="5" t="s">
        <v>28</v>
      </c>
      <c r="E4216" s="5" t="s">
        <v>29</v>
      </c>
      <c r="F4216" s="9">
        <v>88</v>
      </c>
      <c r="G4216" s="9">
        <v>977</v>
      </c>
      <c r="H4216" s="5" t="s">
        <v>20</v>
      </c>
      <c r="I4216" s="5" t="s">
        <v>10058</v>
      </c>
      <c r="J4216" s="12" t="str">
        <f>HYPERLINK("https://www.boe.es/gazeta/dias/1804/11/02/pdfs/GMD-1804-88.pdf#page=9","Abrir facsímil")</f>
        <v>Abrir facsímil</v>
      </c>
      <c r="K4216" s="15" t="s">
        <v>22</v>
      </c>
    </row>
    <row r="4217" spans="1:11" ht="42" customHeight="1">
      <c r="A4217" s="4" t="s">
        <v>10059</v>
      </c>
      <c r="B4217" s="5" t="s">
        <v>10060</v>
      </c>
      <c r="C4217" s="5" t="s">
        <v>27</v>
      </c>
      <c r="D4217" s="5" t="s">
        <v>28</v>
      </c>
      <c r="E4217" s="5" t="s">
        <v>1278</v>
      </c>
      <c r="F4217" s="9">
        <v>37</v>
      </c>
      <c r="G4217" s="9">
        <v>410</v>
      </c>
      <c r="H4217" s="5" t="s">
        <v>20</v>
      </c>
      <c r="I4217" s="5" t="s">
        <v>10061</v>
      </c>
      <c r="J4217" s="12" t="str">
        <f>HYPERLINK("https://www.boe.es/gazeta/dias/1804/05/08/pdfs/GMD-1804-37.pdf#page=8","Abrir facsímil")</f>
        <v>Abrir facsímil</v>
      </c>
      <c r="K4217" s="15" t="s">
        <v>22</v>
      </c>
    </row>
    <row r="4218" spans="1:11" ht="42" customHeight="1">
      <c r="A4218" s="4" t="s">
        <v>10062</v>
      </c>
      <c r="B4218" s="5" t="s">
        <v>10062</v>
      </c>
      <c r="C4218" s="5" t="s">
        <v>27</v>
      </c>
      <c r="D4218" s="5" t="s">
        <v>28</v>
      </c>
      <c r="E4218" s="5" t="s">
        <v>155</v>
      </c>
      <c r="F4218" s="9">
        <v>92</v>
      </c>
      <c r="G4218" s="9">
        <v>1019</v>
      </c>
      <c r="H4218" s="5" t="s">
        <v>20</v>
      </c>
      <c r="I4218" s="5" t="s">
        <v>10063</v>
      </c>
      <c r="J4218" s="12" t="str">
        <f>HYPERLINK("https://www.boe.es/gazeta/dias/1804/11/16/pdfs/GMD-1804-92.pdf#page=7","Abrir facsímil")</f>
        <v>Abrir facsímil</v>
      </c>
      <c r="K4218" s="15" t="s">
        <v>22</v>
      </c>
    </row>
    <row r="4219" spans="1:11" ht="42" customHeight="1">
      <c r="A4219" s="4" t="s">
        <v>10064</v>
      </c>
      <c r="B4219" s="5" t="s">
        <v>10065</v>
      </c>
      <c r="C4219" s="5" t="s">
        <v>27</v>
      </c>
      <c r="D4219" s="5" t="s">
        <v>28</v>
      </c>
      <c r="E4219" s="5" t="s">
        <v>326</v>
      </c>
      <c r="F4219" s="9">
        <v>69</v>
      </c>
      <c r="G4219" s="9">
        <v>775</v>
      </c>
      <c r="H4219" s="5" t="s">
        <v>20</v>
      </c>
      <c r="I4219" s="5" t="s">
        <v>10066</v>
      </c>
      <c r="J4219" s="12" t="str">
        <f>HYPERLINK("https://www.boe.es/gazeta/dias/1804/08/28/pdfs/GMD-1804-69.pdf#page=9","Abrir facsímil")</f>
        <v>Abrir facsímil</v>
      </c>
      <c r="K4219" s="15" t="s">
        <v>22</v>
      </c>
    </row>
    <row r="4220" spans="1:11" ht="42" customHeight="1">
      <c r="A4220" s="4" t="s">
        <v>10067</v>
      </c>
      <c r="B4220" s="5" t="s">
        <v>10067</v>
      </c>
      <c r="C4220" s="5" t="s">
        <v>65</v>
      </c>
      <c r="D4220" s="5" t="s">
        <v>66</v>
      </c>
      <c r="E4220" s="5" t="s">
        <v>666</v>
      </c>
      <c r="F4220" s="9">
        <v>57</v>
      </c>
      <c r="G4220" s="9">
        <v>634</v>
      </c>
      <c r="H4220" s="5" t="s">
        <v>20</v>
      </c>
      <c r="I4220" s="5" t="s">
        <v>10068</v>
      </c>
      <c r="J4220" s="12" t="str">
        <f>HYPERLINK("https://www.boe.es/gazeta/dias/1804/07/17/pdfs/GMD-1804-57.pdf#page=12","Abrir facsímil")</f>
        <v>Abrir facsímil</v>
      </c>
      <c r="K4220" s="15" t="s">
        <v>22</v>
      </c>
    </row>
    <row r="4221" spans="1:11" ht="42" customHeight="1">
      <c r="A4221" s="4" t="s">
        <v>10069</v>
      </c>
      <c r="B4221" s="5" t="s">
        <v>10070</v>
      </c>
      <c r="C4221" s="5" t="s">
        <v>17</v>
      </c>
      <c r="D4221" s="5" t="s">
        <v>18</v>
      </c>
      <c r="E4221" s="5" t="s">
        <v>29</v>
      </c>
      <c r="F4221" s="9">
        <v>88</v>
      </c>
      <c r="G4221" s="9">
        <v>977</v>
      </c>
      <c r="H4221" s="5" t="s">
        <v>20</v>
      </c>
      <c r="I4221" s="5" t="s">
        <v>10071</v>
      </c>
      <c r="J4221" s="12" t="str">
        <f>HYPERLINK("https://www.boe.es/gazeta/dias/1804/11/02/pdfs/GMD-1804-88.pdf#page=9","Abrir facsímil")</f>
        <v>Abrir facsímil</v>
      </c>
      <c r="K4221" s="15" t="s">
        <v>22</v>
      </c>
    </row>
    <row r="4222" spans="1:11" ht="42" customHeight="1">
      <c r="A4222" s="4" t="s">
        <v>10072</v>
      </c>
      <c r="B4222" s="5" t="s">
        <v>10072</v>
      </c>
      <c r="C4222" s="5" t="s">
        <v>17</v>
      </c>
      <c r="D4222" s="5" t="s">
        <v>18</v>
      </c>
      <c r="E4222" s="5" t="s">
        <v>497</v>
      </c>
      <c r="F4222" s="9">
        <v>25</v>
      </c>
      <c r="G4222" s="9">
        <v>284</v>
      </c>
      <c r="H4222" s="5" t="s">
        <v>20</v>
      </c>
      <c r="I4222" s="5" t="s">
        <v>10073</v>
      </c>
      <c r="J4222" s="12" t="str">
        <f>HYPERLINK("https://www.boe.es/gazeta/dias/1804/03/27/pdfs/GMD-1804-25.pdf#page=6","Abrir facsímil")</f>
        <v>Abrir facsímil</v>
      </c>
      <c r="K4222" s="15" t="s">
        <v>22</v>
      </c>
    </row>
    <row r="4223" spans="1:11" ht="42" customHeight="1">
      <c r="A4223" s="4" t="s">
        <v>10074</v>
      </c>
      <c r="B4223" s="5" t="s">
        <v>10075</v>
      </c>
      <c r="C4223" s="5" t="s">
        <v>27</v>
      </c>
      <c r="D4223" s="5" t="s">
        <v>28</v>
      </c>
      <c r="E4223" s="5" t="s">
        <v>1179</v>
      </c>
      <c r="F4223" s="9">
        <v>43</v>
      </c>
      <c r="G4223" s="9">
        <v>480</v>
      </c>
      <c r="H4223" s="5" t="s">
        <v>20</v>
      </c>
      <c r="I4223" s="5" t="s">
        <v>10076</v>
      </c>
      <c r="J4223" s="12" t="str">
        <f>HYPERLINK("https://www.boe.es/gazeta/dias/1804/05/29/pdfs/GMD-1804-43.pdf#page=6","Abrir facsímil")</f>
        <v>Abrir facsímil</v>
      </c>
      <c r="K4223" s="15" t="s">
        <v>22</v>
      </c>
    </row>
    <row r="4224" spans="1:11" ht="42" customHeight="1">
      <c r="A4224" s="4" t="s">
        <v>10077</v>
      </c>
      <c r="B4224" s="5" t="s">
        <v>10078</v>
      </c>
      <c r="C4224" s="5" t="s">
        <v>120</v>
      </c>
      <c r="D4224" s="5" t="s">
        <v>121</v>
      </c>
      <c r="E4224" s="5" t="s">
        <v>33</v>
      </c>
      <c r="F4224" s="9">
        <v>48</v>
      </c>
      <c r="G4224" s="9" t="s">
        <v>819</v>
      </c>
      <c r="H4224" s="5" t="s">
        <v>20</v>
      </c>
      <c r="I4224" s="5" t="s">
        <v>10079</v>
      </c>
      <c r="J4224" s="12" t="str">
        <f>HYPERLINK("https://www.boe.es/gazeta/dias/1804/06/15/pdfs/GMD-C-1804-48.pdf#page=4","Abrir facsímil")</f>
        <v>Abrir facsímil</v>
      </c>
      <c r="K4224" s="15" t="s">
        <v>22</v>
      </c>
    </row>
    <row r="4225" spans="1:11" ht="42" customHeight="1">
      <c r="A4225" s="4" t="s">
        <v>10080</v>
      </c>
      <c r="B4225" s="5" t="s">
        <v>10081</v>
      </c>
      <c r="C4225" s="5" t="s">
        <v>65</v>
      </c>
      <c r="D4225" s="5" t="s">
        <v>66</v>
      </c>
      <c r="E4225" s="5" t="s">
        <v>453</v>
      </c>
      <c r="F4225" s="9">
        <v>33</v>
      </c>
      <c r="G4225" s="9">
        <v>366</v>
      </c>
      <c r="H4225" s="5" t="s">
        <v>20</v>
      </c>
      <c r="I4225" s="5" t="s">
        <v>10082</v>
      </c>
      <c r="J4225" s="12" t="str">
        <f>HYPERLINK("https://www.boe.es/gazeta/dias/1804/04/24/pdfs/GMD-1804-33.pdf#page=8","Abrir facsímil")</f>
        <v>Abrir facsímil</v>
      </c>
      <c r="K4225" s="15" t="s">
        <v>22</v>
      </c>
    </row>
    <row r="4226" spans="1:11" ht="42" customHeight="1">
      <c r="A4226" s="4" t="s">
        <v>10083</v>
      </c>
      <c r="B4226" s="5" t="s">
        <v>10084</v>
      </c>
      <c r="C4226" s="5" t="s">
        <v>27</v>
      </c>
      <c r="D4226" s="5" t="s">
        <v>28</v>
      </c>
      <c r="E4226" s="5" t="s">
        <v>81</v>
      </c>
      <c r="F4226" s="9">
        <v>98</v>
      </c>
      <c r="G4226" s="9">
        <v>1089</v>
      </c>
      <c r="H4226" s="5" t="s">
        <v>20</v>
      </c>
      <c r="I4226" s="5" t="s">
        <v>10085</v>
      </c>
      <c r="J4226" s="12" t="str">
        <f>HYPERLINK("https://www.boe.es/gazeta/dias/1804/12/07/pdfs/GMD-1804-98.pdf#page=5","Abrir facsímil")</f>
        <v>Abrir facsímil</v>
      </c>
      <c r="K4226" s="15" t="s">
        <v>22</v>
      </c>
    </row>
    <row r="4227" spans="1:11" ht="42" customHeight="1">
      <c r="A4227" s="4" t="s">
        <v>10086</v>
      </c>
      <c r="B4227" s="5" t="s">
        <v>10087</v>
      </c>
      <c r="C4227" s="5" t="s">
        <v>65</v>
      </c>
      <c r="D4227" s="5" t="s">
        <v>66</v>
      </c>
      <c r="E4227" s="5" t="s">
        <v>339</v>
      </c>
      <c r="F4227" s="9">
        <v>94</v>
      </c>
      <c r="G4227" s="9">
        <v>1039</v>
      </c>
      <c r="H4227" s="5" t="s">
        <v>20</v>
      </c>
      <c r="I4227" s="5" t="s">
        <v>10088</v>
      </c>
      <c r="J4227" s="12" t="str">
        <f>HYPERLINK("https://www.boe.es/gazeta/dias/1804/11/23/pdfs/GMD-1804-94.pdf#page=7","Abrir facsímil")</f>
        <v>Abrir facsímil</v>
      </c>
      <c r="K4227" s="15" t="s">
        <v>22</v>
      </c>
    </row>
    <row r="4228" spans="1:11" ht="42" customHeight="1">
      <c r="A4228" s="4" t="s">
        <v>10089</v>
      </c>
      <c r="B4228" s="5" t="s">
        <v>10090</v>
      </c>
      <c r="C4228" s="5" t="s">
        <v>17</v>
      </c>
      <c r="D4228" s="5" t="s">
        <v>18</v>
      </c>
      <c r="E4228" s="5" t="s">
        <v>143</v>
      </c>
      <c r="F4228" s="9">
        <v>87</v>
      </c>
      <c r="G4228" s="9">
        <v>965</v>
      </c>
      <c r="H4228" s="5" t="s">
        <v>20</v>
      </c>
      <c r="I4228" s="5" t="s">
        <v>10091</v>
      </c>
      <c r="J4228" s="12" t="str">
        <f>HYPERLINK("https://www.boe.es/gazeta/dias/1804/10/30/pdfs/GMD-1804-87.pdf#page=9","Abrir facsímil")</f>
        <v>Abrir facsímil</v>
      </c>
      <c r="K4228" s="15" t="s">
        <v>22</v>
      </c>
    </row>
    <row r="4229" spans="1:11" ht="42" customHeight="1">
      <c r="A4229" s="4" t="s">
        <v>10089</v>
      </c>
      <c r="B4229" s="5" t="s">
        <v>10090</v>
      </c>
      <c r="C4229" s="5" t="s">
        <v>17</v>
      </c>
      <c r="D4229" s="5" t="s">
        <v>18</v>
      </c>
      <c r="E4229" s="5" t="s">
        <v>950</v>
      </c>
      <c r="F4229" s="9">
        <v>90</v>
      </c>
      <c r="G4229" s="9">
        <v>999</v>
      </c>
      <c r="H4229" s="5" t="s">
        <v>20</v>
      </c>
      <c r="I4229" s="5" t="s">
        <v>10092</v>
      </c>
      <c r="J4229" s="12" t="str">
        <f>HYPERLINK("https://www.boe.es/gazeta/dias/1804/11/09/pdfs/GMD-1804-90.pdf#page=7","Abrir facsímil")</f>
        <v>Abrir facsímil</v>
      </c>
      <c r="K4229" s="15" t="s">
        <v>22</v>
      </c>
    </row>
    <row r="4230" spans="1:11" ht="42" customHeight="1">
      <c r="A4230" s="4" t="s">
        <v>10093</v>
      </c>
      <c r="B4230" s="5" t="s">
        <v>10094</v>
      </c>
      <c r="C4230" s="5" t="s">
        <v>120</v>
      </c>
      <c r="D4230" s="5" t="s">
        <v>121</v>
      </c>
      <c r="E4230" s="5" t="s">
        <v>33</v>
      </c>
      <c r="F4230" s="9">
        <v>48</v>
      </c>
      <c r="G4230" s="9" t="s">
        <v>285</v>
      </c>
      <c r="H4230" s="5" t="s">
        <v>20</v>
      </c>
      <c r="I4230" s="5" t="s">
        <v>10095</v>
      </c>
      <c r="J4230" s="12" t="str">
        <f>HYPERLINK("https://www.boe.es/gazeta/dias/1804/06/15/pdfs/GMD-C-1804-48.pdf#page=2","Abrir facsímil")</f>
        <v>Abrir facsímil</v>
      </c>
      <c r="K4230" s="15" t="s">
        <v>22</v>
      </c>
    </row>
    <row r="4231" spans="1:11" ht="42" customHeight="1">
      <c r="A4231" s="4" t="s">
        <v>10096</v>
      </c>
      <c r="B4231" s="5" t="s">
        <v>10096</v>
      </c>
      <c r="C4231" s="5" t="s">
        <v>57</v>
      </c>
      <c r="D4231" s="5" t="s">
        <v>58</v>
      </c>
      <c r="E4231" s="5" t="s">
        <v>1449</v>
      </c>
      <c r="F4231" s="9">
        <v>8</v>
      </c>
      <c r="G4231" s="9">
        <v>83</v>
      </c>
      <c r="H4231" s="5" t="s">
        <v>20</v>
      </c>
      <c r="I4231" s="5" t="s">
        <v>10097</v>
      </c>
      <c r="J4231" s="12" t="str">
        <f>HYPERLINK("https://www.boe.es/gazeta/dias/1804/01/27/pdfs/GMD-1804-8.pdf#page=7","Abrir facsímil")</f>
        <v>Abrir facsímil</v>
      </c>
      <c r="K4231" s="15" t="s">
        <v>22</v>
      </c>
    </row>
    <row r="4232" spans="1:11" ht="42" customHeight="1">
      <c r="A4232" s="4" t="s">
        <v>10098</v>
      </c>
      <c r="B4232" s="5" t="s">
        <v>10098</v>
      </c>
      <c r="C4232" s="5" t="s">
        <v>27</v>
      </c>
      <c r="D4232" s="5" t="s">
        <v>28</v>
      </c>
      <c r="E4232" s="5" t="s">
        <v>526</v>
      </c>
      <c r="F4232" s="9">
        <v>95</v>
      </c>
      <c r="G4232" s="9">
        <v>1049</v>
      </c>
      <c r="H4232" s="5" t="s">
        <v>20</v>
      </c>
      <c r="I4232" s="5" t="s">
        <v>10099</v>
      </c>
      <c r="J4232" s="12" t="str">
        <f>HYPERLINK("https://www.boe.es/gazeta/dias/1804/11/27/pdfs/GMD-1804-95.pdf#page=1","Abrir facsímil")</f>
        <v>Abrir facsímil</v>
      </c>
      <c r="K4232" s="15" t="s">
        <v>22</v>
      </c>
    </row>
    <row r="4233" spans="1:11" ht="42" customHeight="1">
      <c r="A4233" s="4" t="s">
        <v>10100</v>
      </c>
      <c r="B4233" s="5" t="s">
        <v>10100</v>
      </c>
      <c r="C4233" s="5" t="s">
        <v>27</v>
      </c>
      <c r="D4233" s="5" t="s">
        <v>28</v>
      </c>
      <c r="E4233" s="5" t="s">
        <v>147</v>
      </c>
      <c r="F4233" s="9">
        <v>77</v>
      </c>
      <c r="G4233" s="9">
        <v>859</v>
      </c>
      <c r="H4233" s="5" t="s">
        <v>20</v>
      </c>
      <c r="I4233" s="5" t="s">
        <v>10101</v>
      </c>
      <c r="J4233" s="12" t="str">
        <f>HYPERLINK("https://www.boe.es/gazeta/dias/1804/09/25/pdfs/GMD-1804-77.pdf#page=9","Abrir facsímil")</f>
        <v>Abrir facsímil</v>
      </c>
      <c r="K4233" s="15" t="s">
        <v>22</v>
      </c>
    </row>
    <row r="4234" spans="1:11" ht="42" customHeight="1">
      <c r="A4234" s="4" t="s">
        <v>10102</v>
      </c>
      <c r="B4234" s="5" t="s">
        <v>10103</v>
      </c>
      <c r="C4234" s="5" t="s">
        <v>17</v>
      </c>
      <c r="D4234" s="5" t="s">
        <v>18</v>
      </c>
      <c r="E4234" s="5" t="s">
        <v>71</v>
      </c>
      <c r="F4234" s="9">
        <v>99</v>
      </c>
      <c r="G4234" s="9">
        <v>1107</v>
      </c>
      <c r="H4234" s="5" t="s">
        <v>20</v>
      </c>
      <c r="I4234" s="5" t="s">
        <v>10104</v>
      </c>
      <c r="J4234" s="12" t="str">
        <f>HYPERLINK("https://www.boe.es/gazeta/dias/1804/12/11/pdfs/GMD-1804-99.pdf#page=7","Abrir facsímil")</f>
        <v>Abrir facsímil</v>
      </c>
      <c r="K4234" s="15" t="s">
        <v>22</v>
      </c>
    </row>
    <row r="4235" spans="1:11" ht="42" customHeight="1">
      <c r="A4235" s="4" t="s">
        <v>10105</v>
      </c>
      <c r="B4235" s="5" t="s">
        <v>10105</v>
      </c>
      <c r="C4235" s="5" t="s">
        <v>65</v>
      </c>
      <c r="D4235" s="5" t="s">
        <v>66</v>
      </c>
      <c r="E4235" s="5" t="s">
        <v>1337</v>
      </c>
      <c r="F4235" s="9">
        <v>7</v>
      </c>
      <c r="G4235" s="9">
        <v>70</v>
      </c>
      <c r="H4235" s="5" t="s">
        <v>20</v>
      </c>
      <c r="I4235" s="5" t="s">
        <v>10106</v>
      </c>
      <c r="J4235" s="12" t="str">
        <f>HYPERLINK("https://www.boe.es/gazeta/dias/1804/01/24/pdfs/GMD-1804-7.pdf#page=10","Abrir facsímil")</f>
        <v>Abrir facsímil</v>
      </c>
      <c r="K4235" s="15" t="s">
        <v>22</v>
      </c>
    </row>
    <row r="4236" spans="1:11" ht="42" customHeight="1">
      <c r="A4236" s="4" t="s">
        <v>10107</v>
      </c>
      <c r="B4236" s="5" t="s">
        <v>10107</v>
      </c>
      <c r="C4236" s="5" t="s">
        <v>27</v>
      </c>
      <c r="D4236" s="5" t="s">
        <v>28</v>
      </c>
      <c r="E4236" s="5" t="s">
        <v>670</v>
      </c>
      <c r="F4236" s="9">
        <v>41</v>
      </c>
      <c r="G4236" s="9">
        <v>458</v>
      </c>
      <c r="H4236" s="5" t="s">
        <v>20</v>
      </c>
      <c r="I4236" s="5" t="s">
        <v>10108</v>
      </c>
      <c r="J4236" s="12" t="str">
        <f>HYPERLINK("https://www.boe.es/gazeta/dias/1804/05/22/pdfs/GMD-1804-41.pdf#page=8","Abrir facsímil")</f>
        <v>Abrir facsímil</v>
      </c>
      <c r="K4236" s="15" t="s">
        <v>22</v>
      </c>
    </row>
    <row r="4237" spans="1:11" ht="42" customHeight="1">
      <c r="A4237" s="4" t="s">
        <v>10109</v>
      </c>
      <c r="B4237" s="5" t="s">
        <v>10109</v>
      </c>
      <c r="C4237" s="5" t="s">
        <v>17</v>
      </c>
      <c r="D4237" s="5" t="s">
        <v>18</v>
      </c>
      <c r="E4237" s="5" t="s">
        <v>272</v>
      </c>
      <c r="F4237" s="9">
        <v>30</v>
      </c>
      <c r="G4237" s="9">
        <v>330</v>
      </c>
      <c r="H4237" s="5" t="s">
        <v>20</v>
      </c>
      <c r="I4237" s="5" t="s">
        <v>10110</v>
      </c>
      <c r="J4237" s="12" t="str">
        <f>HYPERLINK("https://www.boe.es/gazeta/dias/1804/04/13/pdfs/GMD-1804-30.pdf#page=8","Abrir facsímil")</f>
        <v>Abrir facsímil</v>
      </c>
      <c r="K4237" s="15" t="s">
        <v>22</v>
      </c>
    </row>
    <row r="4238" spans="1:11" ht="42" customHeight="1">
      <c r="A4238" s="4" t="s">
        <v>10111</v>
      </c>
      <c r="B4238" s="5" t="s">
        <v>10111</v>
      </c>
      <c r="C4238" s="5" t="s">
        <v>57</v>
      </c>
      <c r="D4238" s="5" t="s">
        <v>58</v>
      </c>
      <c r="E4238" s="5" t="s">
        <v>320</v>
      </c>
      <c r="F4238" s="9">
        <v>31</v>
      </c>
      <c r="G4238" s="9">
        <v>339</v>
      </c>
      <c r="H4238" s="5" t="s">
        <v>20</v>
      </c>
      <c r="I4238" s="5" t="s">
        <v>10112</v>
      </c>
      <c r="J4238" s="12" t="str">
        <f>HYPERLINK("https://www.boe.es/gazeta/dias/1804/04/17/pdfs/GMD-1804-31.pdf#page=5","Abrir facsímil")</f>
        <v>Abrir facsímil</v>
      </c>
      <c r="K4238" s="15" t="s">
        <v>22</v>
      </c>
    </row>
    <row r="4239" spans="1:11" ht="42" customHeight="1">
      <c r="A4239" s="4" t="s">
        <v>10113</v>
      </c>
      <c r="B4239" s="5" t="s">
        <v>10113</v>
      </c>
      <c r="C4239" s="5" t="s">
        <v>17</v>
      </c>
      <c r="D4239" s="5" t="s">
        <v>18</v>
      </c>
      <c r="E4239" s="5" t="s">
        <v>547</v>
      </c>
      <c r="F4239" s="9">
        <v>68</v>
      </c>
      <c r="G4239" s="9">
        <v>762</v>
      </c>
      <c r="H4239" s="5" t="s">
        <v>20</v>
      </c>
      <c r="I4239" s="5" t="s">
        <v>10114</v>
      </c>
      <c r="J4239" s="12" t="str">
        <f>HYPERLINK("https://www.boe.es/gazeta/dias/1804/08/24/pdfs/GMD-1804-68.pdf#page=8","Abrir facsímil")</f>
        <v>Abrir facsímil</v>
      </c>
      <c r="K4239" s="15" t="s">
        <v>22</v>
      </c>
    </row>
    <row r="4240" spans="1:11" ht="42" customHeight="1">
      <c r="A4240" s="4" t="s">
        <v>10115</v>
      </c>
      <c r="B4240" s="5" t="s">
        <v>10116</v>
      </c>
      <c r="C4240" s="5" t="s">
        <v>65</v>
      </c>
      <c r="D4240" s="5" t="s">
        <v>66</v>
      </c>
      <c r="E4240" s="5" t="s">
        <v>230</v>
      </c>
      <c r="F4240" s="9">
        <v>26</v>
      </c>
      <c r="G4240" s="9">
        <v>294</v>
      </c>
      <c r="H4240" s="5" t="s">
        <v>20</v>
      </c>
      <c r="I4240" s="5" t="s">
        <v>10117</v>
      </c>
      <c r="J4240" s="12" t="str">
        <f>HYPERLINK("https://www.boe.es/gazeta/dias/1804/03/30/pdfs/GMD-1804-26.pdf#page=8","Abrir facsímil")</f>
        <v>Abrir facsímil</v>
      </c>
      <c r="K4240" s="15" t="s">
        <v>22</v>
      </c>
    </row>
    <row r="4241" spans="1:11" ht="42" customHeight="1">
      <c r="A4241" s="4" t="s">
        <v>10118</v>
      </c>
      <c r="B4241" s="5" t="s">
        <v>10118</v>
      </c>
      <c r="C4241" s="5" t="s">
        <v>85</v>
      </c>
      <c r="D4241" s="5" t="s">
        <v>86</v>
      </c>
      <c r="E4241" s="5" t="s">
        <v>699</v>
      </c>
      <c r="F4241" s="9">
        <v>2</v>
      </c>
      <c r="G4241" s="9">
        <v>20</v>
      </c>
      <c r="H4241" s="5" t="s">
        <v>20</v>
      </c>
      <c r="I4241" s="5" t="s">
        <v>10119</v>
      </c>
      <c r="J4241" s="12" t="str">
        <f>HYPERLINK("https://www.boe.es/gazeta/dias/1804/01/06/pdfs/GMD-1804-2.pdf#page=8","Abrir facsímil")</f>
        <v>Abrir facsímil</v>
      </c>
      <c r="K4241" s="15" t="s">
        <v>22</v>
      </c>
    </row>
    <row r="4242" spans="1:11" ht="42" customHeight="1">
      <c r="A4242" s="4" t="s">
        <v>10120</v>
      </c>
      <c r="B4242" s="5" t="s">
        <v>10120</v>
      </c>
      <c r="C4242" s="5" t="s">
        <v>65</v>
      </c>
      <c r="D4242" s="5" t="s">
        <v>66</v>
      </c>
      <c r="E4242" s="5" t="s">
        <v>106</v>
      </c>
      <c r="F4242" s="9">
        <v>34</v>
      </c>
      <c r="G4242" s="9">
        <v>376</v>
      </c>
      <c r="H4242" s="5" t="s">
        <v>20</v>
      </c>
      <c r="I4242" s="5" t="s">
        <v>10121</v>
      </c>
      <c r="J4242" s="12" t="str">
        <f>HYPERLINK("https://www.boe.es/gazeta/dias/1804/04/27/pdfs/GMD-1804-34.pdf#page=6","Abrir facsímil")</f>
        <v>Abrir facsímil</v>
      </c>
      <c r="K4242" s="15" t="s">
        <v>22</v>
      </c>
    </row>
    <row r="4243" spans="1:11" ht="42" customHeight="1">
      <c r="A4243" s="4" t="s">
        <v>10122</v>
      </c>
      <c r="B4243" s="5" t="s">
        <v>10123</v>
      </c>
      <c r="C4243" s="5" t="s">
        <v>57</v>
      </c>
      <c r="D4243" s="5" t="s">
        <v>58</v>
      </c>
      <c r="E4243" s="5" t="s">
        <v>350</v>
      </c>
      <c r="F4243" s="9">
        <v>19</v>
      </c>
      <c r="G4243" s="9">
        <v>207</v>
      </c>
      <c r="H4243" s="5" t="s">
        <v>20</v>
      </c>
      <c r="I4243" s="5" t="s">
        <v>10124</v>
      </c>
      <c r="J4243" s="12" t="str">
        <f>HYPERLINK("https://www.boe.es/gazeta/dias/1804/03/06/pdfs/GMD-1804-19.pdf#page=7","Abrir facsímil")</f>
        <v>Abrir facsímil</v>
      </c>
      <c r="K4243" s="15" t="s">
        <v>22</v>
      </c>
    </row>
    <row r="4244" spans="1:11" ht="42" customHeight="1">
      <c r="A4244" s="4" t="s">
        <v>10125</v>
      </c>
      <c r="B4244" s="5" t="s">
        <v>10125</v>
      </c>
      <c r="C4244" s="5" t="s">
        <v>57</v>
      </c>
      <c r="D4244" s="5" t="s">
        <v>58</v>
      </c>
      <c r="E4244" s="5" t="s">
        <v>251</v>
      </c>
      <c r="F4244" s="9">
        <v>79</v>
      </c>
      <c r="G4244" s="9">
        <v>877</v>
      </c>
      <c r="H4244" s="5" t="s">
        <v>20</v>
      </c>
      <c r="I4244" s="5" t="s">
        <v>10126</v>
      </c>
      <c r="J4244" s="12" t="str">
        <f>HYPERLINK("https://www.boe.es/gazeta/dias/1804/10/02/pdfs/GMD-1804-79.pdf#page=7","Abrir facsímil")</f>
        <v>Abrir facsímil</v>
      </c>
      <c r="K4244" s="15" t="s">
        <v>22</v>
      </c>
    </row>
    <row r="4245" spans="1:11" ht="42" customHeight="1">
      <c r="A4245" s="4" t="s">
        <v>10127</v>
      </c>
      <c r="B4245" s="5" t="s">
        <v>10128</v>
      </c>
      <c r="C4245" s="5" t="s">
        <v>27</v>
      </c>
      <c r="D4245" s="5" t="s">
        <v>28</v>
      </c>
      <c r="E4245" s="5" t="s">
        <v>782</v>
      </c>
      <c r="F4245" s="9">
        <v>75</v>
      </c>
      <c r="G4245" s="9">
        <v>840</v>
      </c>
      <c r="H4245" s="5" t="s">
        <v>20</v>
      </c>
      <c r="I4245" s="5" t="s">
        <v>10129</v>
      </c>
      <c r="J4245" s="12" t="str">
        <f>HYPERLINK("https://www.boe.es/gazeta/dias/1804/09/18/pdfs/GMD-1804-75.pdf#page=6","Abrir facsímil")</f>
        <v>Abrir facsímil</v>
      </c>
      <c r="K4245" s="15" t="s">
        <v>22</v>
      </c>
    </row>
    <row r="4246" spans="1:11" ht="42" customHeight="1">
      <c r="A4246" s="4" t="s">
        <v>10130</v>
      </c>
      <c r="B4246" s="5" t="s">
        <v>10130</v>
      </c>
      <c r="C4246" s="5" t="s">
        <v>57</v>
      </c>
      <c r="D4246" s="5" t="s">
        <v>58</v>
      </c>
      <c r="E4246" s="5" t="s">
        <v>87</v>
      </c>
      <c r="F4246" s="9">
        <v>9</v>
      </c>
      <c r="G4246" s="9">
        <v>96</v>
      </c>
      <c r="H4246" s="5" t="s">
        <v>20</v>
      </c>
      <c r="I4246" s="5" t="s">
        <v>10131</v>
      </c>
      <c r="J4246" s="12" t="str">
        <f>HYPERLINK("https://www.boe.es/gazeta/dias/1804/01/31/pdfs/GMD-1804-9.pdf#page=8","Abrir facsímil")</f>
        <v>Abrir facsímil</v>
      </c>
      <c r="K4246" s="15" t="s">
        <v>22</v>
      </c>
    </row>
    <row r="4247" spans="1:11" ht="42" customHeight="1">
      <c r="A4247" s="4" t="s">
        <v>10132</v>
      </c>
      <c r="B4247" s="5" t="s">
        <v>10133</v>
      </c>
      <c r="C4247" s="5" t="s">
        <v>27</v>
      </c>
      <c r="D4247" s="5" t="s">
        <v>28</v>
      </c>
      <c r="E4247" s="5" t="s">
        <v>388</v>
      </c>
      <c r="F4247" s="9">
        <v>18</v>
      </c>
      <c r="G4247" s="9">
        <v>198</v>
      </c>
      <c r="H4247" s="5" t="s">
        <v>20</v>
      </c>
      <c r="I4247" s="5" t="s">
        <v>10134</v>
      </c>
      <c r="J4247" s="12" t="str">
        <f>HYPERLINK("https://www.boe.es/gazeta/dias/1804/03/02/pdfs/GMD-1804-18.pdf#page=10","Abrir facsímil")</f>
        <v>Abrir facsímil</v>
      </c>
      <c r="K4247" s="15" t="s">
        <v>22</v>
      </c>
    </row>
    <row r="4248" spans="1:11" ht="42" customHeight="1">
      <c r="A4248" s="4" t="s">
        <v>10135</v>
      </c>
      <c r="B4248" s="5" t="s">
        <v>10136</v>
      </c>
      <c r="C4248" s="5" t="s">
        <v>27</v>
      </c>
      <c r="D4248" s="5" t="s">
        <v>28</v>
      </c>
      <c r="E4248" s="5" t="s">
        <v>47</v>
      </c>
      <c r="F4248" s="9">
        <v>78</v>
      </c>
      <c r="G4248" s="9">
        <v>864</v>
      </c>
      <c r="H4248" s="5" t="s">
        <v>20</v>
      </c>
      <c r="I4248" s="5" t="s">
        <v>10137</v>
      </c>
      <c r="J4248" s="12" t="str">
        <f>HYPERLINK("https://www.boe.es/gazeta/dias/1804/09/28/pdfs/GMD-1804-78.pdf#page=2","Abrir facsímil")</f>
        <v>Abrir facsímil</v>
      </c>
      <c r="K4248" s="15" t="s">
        <v>22</v>
      </c>
    </row>
    <row r="4249" spans="1:11" ht="42" customHeight="1">
      <c r="A4249" s="4" t="s">
        <v>10138</v>
      </c>
      <c r="B4249" s="5" t="s">
        <v>10139</v>
      </c>
      <c r="C4249" s="5" t="s">
        <v>120</v>
      </c>
      <c r="D4249" s="5" t="s">
        <v>121</v>
      </c>
      <c r="E4249" s="5" t="s">
        <v>33</v>
      </c>
      <c r="F4249" s="9">
        <v>48</v>
      </c>
      <c r="G4249" s="9" t="s">
        <v>122</v>
      </c>
      <c r="H4249" s="5" t="s">
        <v>20</v>
      </c>
      <c r="I4249" s="5" t="s">
        <v>10140</v>
      </c>
      <c r="J4249" s="12" t="str">
        <f>HYPERLINK("https://www.boe.es/gazeta/dias/1804/06/15/pdfs/GMD-C-1804-48.pdf#page=3","Abrir facsímil")</f>
        <v>Abrir facsímil</v>
      </c>
      <c r="K4249" s="15" t="s">
        <v>22</v>
      </c>
    </row>
    <row r="4250" spans="1:11" ht="42" customHeight="1">
      <c r="A4250" s="4" t="s">
        <v>10141</v>
      </c>
      <c r="B4250" s="5" t="s">
        <v>10142</v>
      </c>
      <c r="C4250" s="5" t="s">
        <v>17</v>
      </c>
      <c r="D4250" s="5" t="s">
        <v>18</v>
      </c>
      <c r="E4250" s="5" t="s">
        <v>421</v>
      </c>
      <c r="F4250" s="9">
        <v>47</v>
      </c>
      <c r="G4250" s="9">
        <v>527</v>
      </c>
      <c r="H4250" s="5" t="s">
        <v>20</v>
      </c>
      <c r="I4250" s="5" t="s">
        <v>10143</v>
      </c>
      <c r="J4250" s="12" t="str">
        <f>HYPERLINK("https://www.boe.es/gazeta/dias/1804/06/12/pdfs/GMD-1804-47.pdf#page=9","Abrir facsímil")</f>
        <v>Abrir facsímil</v>
      </c>
      <c r="K4250" s="15" t="s">
        <v>22</v>
      </c>
    </row>
    <row r="4251" spans="1:11" ht="42" customHeight="1">
      <c r="A4251" s="4" t="s">
        <v>10144</v>
      </c>
      <c r="B4251" s="5" t="s">
        <v>10145</v>
      </c>
      <c r="C4251" s="5" t="s">
        <v>27</v>
      </c>
      <c r="D4251" s="5" t="s">
        <v>28</v>
      </c>
      <c r="E4251" s="5" t="s">
        <v>19</v>
      </c>
      <c r="F4251" s="9">
        <v>60</v>
      </c>
      <c r="G4251" s="9">
        <v>665</v>
      </c>
      <c r="H4251" s="5" t="s">
        <v>20</v>
      </c>
      <c r="I4251" s="5" t="s">
        <v>10146</v>
      </c>
      <c r="J4251" s="12" t="str">
        <f>HYPERLINK("https://www.boe.es/gazeta/dias/1804/07/27/pdfs/GMD-1804-60.pdf#page=7","Abrir facsímil")</f>
        <v>Abrir facsímil</v>
      </c>
      <c r="K4251" s="15" t="s">
        <v>22</v>
      </c>
    </row>
    <row r="4252" spans="1:11" ht="42" customHeight="1">
      <c r="A4252" s="4" t="s">
        <v>10147</v>
      </c>
      <c r="B4252" s="5" t="s">
        <v>10147</v>
      </c>
      <c r="C4252" s="5" t="s">
        <v>17</v>
      </c>
      <c r="D4252" s="5" t="s">
        <v>18</v>
      </c>
      <c r="E4252" s="5" t="s">
        <v>143</v>
      </c>
      <c r="F4252" s="9">
        <v>87</v>
      </c>
      <c r="G4252" s="9">
        <v>965</v>
      </c>
      <c r="H4252" s="5" t="s">
        <v>20</v>
      </c>
      <c r="I4252" s="5" t="s">
        <v>10148</v>
      </c>
      <c r="J4252" s="12" t="str">
        <f>HYPERLINK("https://www.boe.es/gazeta/dias/1804/10/30/pdfs/GMD-1804-87.pdf#page=9","Abrir facsímil")</f>
        <v>Abrir facsímil</v>
      </c>
      <c r="K4252" s="15" t="s">
        <v>22</v>
      </c>
    </row>
    <row r="4253" spans="1:11" ht="42" customHeight="1">
      <c r="A4253" s="4" t="s">
        <v>10149</v>
      </c>
      <c r="B4253" s="5" t="s">
        <v>10149</v>
      </c>
      <c r="C4253" s="5" t="s">
        <v>17</v>
      </c>
      <c r="D4253" s="5" t="s">
        <v>18</v>
      </c>
      <c r="E4253" s="5" t="s">
        <v>950</v>
      </c>
      <c r="F4253" s="9">
        <v>90</v>
      </c>
      <c r="G4253" s="9">
        <v>999</v>
      </c>
      <c r="H4253" s="5" t="s">
        <v>20</v>
      </c>
      <c r="I4253" s="5" t="s">
        <v>10150</v>
      </c>
      <c r="J4253" s="12" t="str">
        <f>HYPERLINK("https://www.boe.es/gazeta/dias/1804/11/09/pdfs/GMD-1804-90.pdf#page=7","Abrir facsímil")</f>
        <v>Abrir facsímil</v>
      </c>
      <c r="K4253" s="15" t="s">
        <v>22</v>
      </c>
    </row>
    <row r="4254" spans="1:11" ht="42" customHeight="1">
      <c r="A4254" s="4" t="s">
        <v>10151</v>
      </c>
      <c r="B4254" s="5" t="s">
        <v>10151</v>
      </c>
      <c r="C4254" s="5" t="s">
        <v>120</v>
      </c>
      <c r="D4254" s="5" t="s">
        <v>121</v>
      </c>
      <c r="E4254" s="5" t="s">
        <v>33</v>
      </c>
      <c r="F4254" s="9">
        <v>48</v>
      </c>
      <c r="G4254" s="9" t="s">
        <v>122</v>
      </c>
      <c r="H4254" s="5" t="s">
        <v>20</v>
      </c>
      <c r="I4254" s="5" t="s">
        <v>10152</v>
      </c>
      <c r="J4254" s="12" t="str">
        <f>HYPERLINK("https://www.boe.es/gazeta/dias/1804/06/15/pdfs/GMD-C-1804-48.pdf#page=3","Abrir facsímil")</f>
        <v>Abrir facsímil</v>
      </c>
      <c r="K4254" s="15" t="s">
        <v>22</v>
      </c>
    </row>
    <row r="4255" spans="1:11" ht="42" customHeight="1">
      <c r="A4255" s="4" t="s">
        <v>10153</v>
      </c>
      <c r="B4255" s="5" t="s">
        <v>10153</v>
      </c>
      <c r="C4255" s="5" t="s">
        <v>65</v>
      </c>
      <c r="D4255" s="5" t="s">
        <v>66</v>
      </c>
      <c r="E4255" s="5" t="s">
        <v>623</v>
      </c>
      <c r="F4255" s="9">
        <v>51</v>
      </c>
      <c r="G4255" s="9">
        <v>565</v>
      </c>
      <c r="H4255" s="5" t="s">
        <v>20</v>
      </c>
      <c r="I4255" s="5" t="s">
        <v>10154</v>
      </c>
      <c r="J4255" s="12" t="str">
        <f>HYPERLINK("https://www.boe.es/gazeta/dias/1804/06/26/pdfs/GMD-1804-51.pdf#page=11","Abrir facsímil")</f>
        <v>Abrir facsímil</v>
      </c>
      <c r="K4255" s="15" t="s">
        <v>22</v>
      </c>
    </row>
    <row r="4256" spans="1:11" ht="42" customHeight="1">
      <c r="A4256" s="4" t="s">
        <v>10155</v>
      </c>
      <c r="B4256" s="5" t="s">
        <v>10156</v>
      </c>
      <c r="C4256" s="5" t="s">
        <v>198</v>
      </c>
      <c r="D4256" s="5" t="s">
        <v>66</v>
      </c>
      <c r="E4256" s="5" t="s">
        <v>140</v>
      </c>
      <c r="F4256" s="9">
        <v>39</v>
      </c>
      <c r="G4256" s="9">
        <v>430</v>
      </c>
      <c r="H4256" s="5" t="s">
        <v>20</v>
      </c>
      <c r="I4256" s="5" t="s">
        <v>10157</v>
      </c>
      <c r="J4256" s="12" t="str">
        <f>HYPERLINK("https://www.boe.es/gazeta/dias/1804/05/15/pdfs/GMD-1804-39.pdf#page=4","Abrir facsímil")</f>
        <v>Abrir facsímil</v>
      </c>
      <c r="K4256" s="15" t="s">
        <v>22</v>
      </c>
    </row>
    <row r="4257" spans="1:11" ht="42" customHeight="1">
      <c r="A4257" s="4" t="s">
        <v>10158</v>
      </c>
      <c r="B4257" s="5" t="s">
        <v>10158</v>
      </c>
      <c r="C4257" s="5" t="s">
        <v>120</v>
      </c>
      <c r="D4257" s="5" t="s">
        <v>121</v>
      </c>
      <c r="E4257" s="5" t="s">
        <v>33</v>
      </c>
      <c r="F4257" s="9">
        <v>48</v>
      </c>
      <c r="G4257" s="9" t="s">
        <v>98</v>
      </c>
      <c r="H4257" s="5" t="s">
        <v>20</v>
      </c>
      <c r="I4257" s="5" t="s">
        <v>10159</v>
      </c>
      <c r="J4257" s="12" t="str">
        <f>HYPERLINK("https://www.boe.es/gazeta/dias/1804/06/15/pdfs/GMD-C-1804-48.pdf#page=1","Abrir facsímil")</f>
        <v>Abrir facsímil</v>
      </c>
      <c r="K4257" s="15" t="s">
        <v>22</v>
      </c>
    </row>
    <row r="4258" spans="1:11" ht="42" customHeight="1">
      <c r="A4258" s="4" t="s">
        <v>10160</v>
      </c>
      <c r="B4258" s="5" t="s">
        <v>10160</v>
      </c>
      <c r="C4258" s="5" t="s">
        <v>17</v>
      </c>
      <c r="D4258" s="5" t="s">
        <v>18</v>
      </c>
      <c r="E4258" s="5" t="s">
        <v>77</v>
      </c>
      <c r="F4258" s="9">
        <v>32</v>
      </c>
      <c r="G4258" s="9">
        <v>357</v>
      </c>
      <c r="H4258" s="5" t="s">
        <v>20</v>
      </c>
      <c r="I4258" s="5" t="s">
        <v>10161</v>
      </c>
      <c r="J4258" s="12" t="str">
        <f>HYPERLINK("https://www.boe.es/gazeta/dias/1804/04/20/pdfs/GMD-1804-32.pdf#page=11","Abrir facsímil")</f>
        <v>Abrir facsímil</v>
      </c>
      <c r="K4258" s="15" t="s">
        <v>22</v>
      </c>
    </row>
    <row r="4259" spans="1:11" ht="42" customHeight="1">
      <c r="A4259" s="4" t="s">
        <v>10162</v>
      </c>
      <c r="B4259" s="5" t="s">
        <v>10163</v>
      </c>
      <c r="C4259" s="5" t="s">
        <v>27</v>
      </c>
      <c r="D4259" s="5" t="s">
        <v>28</v>
      </c>
      <c r="E4259" s="5" t="s">
        <v>1337</v>
      </c>
      <c r="F4259" s="9">
        <v>7</v>
      </c>
      <c r="G4259" s="9">
        <v>69</v>
      </c>
      <c r="H4259" s="5" t="s">
        <v>20</v>
      </c>
      <c r="I4259" s="5" t="s">
        <v>10164</v>
      </c>
      <c r="J4259" s="12" t="str">
        <f>HYPERLINK("https://www.boe.es/gazeta/dias/1804/01/24/pdfs/GMD-1804-7.pdf#page=9","Abrir facsímil")</f>
        <v>Abrir facsímil</v>
      </c>
      <c r="K4259" s="15" t="s">
        <v>22</v>
      </c>
    </row>
    <row r="4260" spans="1:11" ht="42" customHeight="1">
      <c r="A4260" s="4" t="s">
        <v>10165</v>
      </c>
      <c r="B4260" s="5" t="s">
        <v>10166</v>
      </c>
      <c r="C4260" s="5" t="s">
        <v>27</v>
      </c>
      <c r="D4260" s="5" t="s">
        <v>28</v>
      </c>
      <c r="E4260" s="5" t="s">
        <v>704</v>
      </c>
      <c r="F4260" s="9">
        <v>36</v>
      </c>
      <c r="G4260" s="9">
        <v>400</v>
      </c>
      <c r="H4260" s="5" t="s">
        <v>20</v>
      </c>
      <c r="I4260" s="5" t="s">
        <v>10167</v>
      </c>
      <c r="J4260" s="12" t="str">
        <f>HYPERLINK("https://www.boe.es/gazeta/dias/1804/05/04/pdfs/GMD-1804-36.pdf#page=10","Abrir facsímil")</f>
        <v>Abrir facsímil</v>
      </c>
      <c r="K4260" s="15" t="s">
        <v>22</v>
      </c>
    </row>
    <row r="4261" spans="1:11" ht="42" customHeight="1">
      <c r="A4261" s="4" t="s">
        <v>10168</v>
      </c>
      <c r="B4261" s="5" t="s">
        <v>10169</v>
      </c>
      <c r="C4261" s="5" t="s">
        <v>120</v>
      </c>
      <c r="D4261" s="5" t="s">
        <v>121</v>
      </c>
      <c r="E4261" s="5" t="s">
        <v>33</v>
      </c>
      <c r="F4261" s="9">
        <v>48</v>
      </c>
      <c r="G4261" s="9" t="s">
        <v>98</v>
      </c>
      <c r="H4261" s="5" t="s">
        <v>20</v>
      </c>
      <c r="I4261" s="5" t="s">
        <v>10170</v>
      </c>
      <c r="J4261" s="12" t="str">
        <f>HYPERLINK("https://www.boe.es/gazeta/dias/1804/06/15/pdfs/GMD-C-1804-48.pdf#page=1","Abrir facsímil")</f>
        <v>Abrir facsímil</v>
      </c>
      <c r="K4261" s="15" t="s">
        <v>22</v>
      </c>
    </row>
    <row r="4262" spans="1:11" ht="42" customHeight="1">
      <c r="A4262" s="4" t="s">
        <v>10171</v>
      </c>
      <c r="B4262" s="5" t="s">
        <v>10171</v>
      </c>
      <c r="C4262" s="5" t="s">
        <v>85</v>
      </c>
      <c r="D4262" s="5" t="s">
        <v>86</v>
      </c>
      <c r="E4262" s="5" t="s">
        <v>208</v>
      </c>
      <c r="F4262" s="9">
        <v>97</v>
      </c>
      <c r="G4262" s="9">
        <v>1084</v>
      </c>
      <c r="H4262" s="5" t="s">
        <v>20</v>
      </c>
      <c r="I4262" s="5" t="s">
        <v>10172</v>
      </c>
      <c r="J4262" s="12" t="str">
        <f>HYPERLINK("https://www.boe.es/gazeta/dias/1804/12/04/pdfs/GMD-1804-97.pdf#page=12","Abrir facsímil")</f>
        <v>Abrir facsímil</v>
      </c>
      <c r="K4262" s="15" t="s">
        <v>22</v>
      </c>
    </row>
    <row r="4263" spans="1:11" ht="42" customHeight="1">
      <c r="A4263" s="4" t="s">
        <v>10173</v>
      </c>
      <c r="B4263" s="5" t="s">
        <v>10173</v>
      </c>
      <c r="C4263" s="5" t="s">
        <v>27</v>
      </c>
      <c r="D4263" s="5" t="s">
        <v>28</v>
      </c>
      <c r="E4263" s="5" t="s">
        <v>75</v>
      </c>
      <c r="F4263" s="9">
        <v>16</v>
      </c>
      <c r="G4263" s="9">
        <v>173</v>
      </c>
      <c r="H4263" s="5" t="s">
        <v>20</v>
      </c>
      <c r="I4263" s="5" t="s">
        <v>10174</v>
      </c>
      <c r="J4263" s="12" t="str">
        <f>HYPERLINK("https://www.boe.es/gazeta/dias/1804/02/24/pdfs/GMD-1804-16.pdf#page=9","Abrir facsímil")</f>
        <v>Abrir facsímil</v>
      </c>
      <c r="K4263" s="15" t="s">
        <v>22</v>
      </c>
    </row>
    <row r="4264" spans="1:11" ht="42" customHeight="1">
      <c r="A4264" s="4" t="s">
        <v>10175</v>
      </c>
      <c r="B4264" s="5" t="s">
        <v>10176</v>
      </c>
      <c r="C4264" s="5" t="s">
        <v>198</v>
      </c>
      <c r="D4264" s="5" t="s">
        <v>66</v>
      </c>
      <c r="E4264" s="5" t="s">
        <v>19</v>
      </c>
      <c r="F4264" s="9">
        <v>60</v>
      </c>
      <c r="G4264" s="9">
        <v>665</v>
      </c>
      <c r="H4264" s="5" t="s">
        <v>20</v>
      </c>
      <c r="I4264" s="5" t="s">
        <v>10177</v>
      </c>
      <c r="J4264" s="12" t="str">
        <f>HYPERLINK("https://www.boe.es/gazeta/dias/1804/07/27/pdfs/GMD-1804-60.pdf#page=7","Abrir facsímil")</f>
        <v>Abrir facsímil</v>
      </c>
      <c r="K4264" s="15" t="s">
        <v>22</v>
      </c>
    </row>
    <row r="4265" spans="1:11" ht="42" customHeight="1">
      <c r="A4265" s="4" t="s">
        <v>10178</v>
      </c>
      <c r="B4265" s="5" t="s">
        <v>10179</v>
      </c>
      <c r="C4265" s="5" t="s">
        <v>27</v>
      </c>
      <c r="D4265" s="5" t="s">
        <v>28</v>
      </c>
      <c r="E4265" s="5" t="s">
        <v>388</v>
      </c>
      <c r="F4265" s="9">
        <v>18</v>
      </c>
      <c r="G4265" s="9">
        <v>199</v>
      </c>
      <c r="H4265" s="5" t="s">
        <v>20</v>
      </c>
      <c r="I4265" s="5" t="s">
        <v>10180</v>
      </c>
      <c r="J4265" s="12" t="str">
        <f>HYPERLINK("https://www.boe.es/gazeta/dias/1804/03/02/pdfs/GMD-1804-18.pdf#page=11","Abrir facsímil")</f>
        <v>Abrir facsímil</v>
      </c>
      <c r="K4265" s="15" t="s">
        <v>22</v>
      </c>
    </row>
    <row r="4266" spans="1:11" ht="42" customHeight="1">
      <c r="A4266" s="4" t="s">
        <v>10181</v>
      </c>
      <c r="B4266" s="5" t="s">
        <v>10182</v>
      </c>
      <c r="C4266" s="5" t="s">
        <v>27</v>
      </c>
      <c r="D4266" s="5" t="s">
        <v>28</v>
      </c>
      <c r="E4266" s="5" t="s">
        <v>61</v>
      </c>
      <c r="F4266" s="9">
        <v>61</v>
      </c>
      <c r="G4266" s="9">
        <v>674</v>
      </c>
      <c r="H4266" s="5" t="s">
        <v>20</v>
      </c>
      <c r="I4266" s="5" t="s">
        <v>10183</v>
      </c>
      <c r="J4266" s="12" t="str">
        <f>HYPERLINK("https://www.boe.es/gazeta/dias/1804/07/31/pdfs/GMD-1804-61.pdf#page=4","Abrir facsímil")</f>
        <v>Abrir facsímil</v>
      </c>
      <c r="K4266" s="15" t="s">
        <v>22</v>
      </c>
    </row>
    <row r="4267" spans="1:11" ht="42" customHeight="1">
      <c r="A4267" s="4" t="s">
        <v>10184</v>
      </c>
      <c r="B4267" s="5" t="s">
        <v>10185</v>
      </c>
      <c r="C4267" s="5" t="s">
        <v>17</v>
      </c>
      <c r="D4267" s="5" t="s">
        <v>18</v>
      </c>
      <c r="E4267" s="5" t="s">
        <v>111</v>
      </c>
      <c r="F4267" s="9">
        <v>40</v>
      </c>
      <c r="G4267" s="9">
        <v>448</v>
      </c>
      <c r="H4267" s="5" t="s">
        <v>20</v>
      </c>
      <c r="I4267" s="5" t="s">
        <v>10186</v>
      </c>
      <c r="J4267" s="12" t="str">
        <f>HYPERLINK("https://www.boe.es/gazeta/dias/1804/05/18/pdfs/GMD-1804-40.pdf#page=10","Abrir facsímil")</f>
        <v>Abrir facsímil</v>
      </c>
      <c r="K4267" s="15" t="s">
        <v>22</v>
      </c>
    </row>
    <row r="4268" spans="1:11" ht="42" customHeight="1">
      <c r="A4268" s="4" t="s">
        <v>10187</v>
      </c>
      <c r="B4268" s="5" t="s">
        <v>10188</v>
      </c>
      <c r="C4268" s="5" t="s">
        <v>57</v>
      </c>
      <c r="D4268" s="5" t="s">
        <v>58</v>
      </c>
      <c r="E4268" s="5" t="s">
        <v>37</v>
      </c>
      <c r="F4268" s="9">
        <v>29</v>
      </c>
      <c r="G4268" s="9">
        <v>313</v>
      </c>
      <c r="H4268" s="5" t="s">
        <v>20</v>
      </c>
      <c r="I4268" s="5" t="s">
        <v>10189</v>
      </c>
      <c r="J4268" s="12" t="str">
        <f>HYPERLINK("https://www.boe.es/gazeta/dias/1804/04/10/pdfs/GMD-1804-29.pdf#page=3","Abrir facsímil")</f>
        <v>Abrir facsímil</v>
      </c>
      <c r="K4268" s="15" t="s">
        <v>22</v>
      </c>
    </row>
    <row r="4269" spans="1:11" ht="42" customHeight="1">
      <c r="A4269" s="4" t="s">
        <v>10190</v>
      </c>
      <c r="B4269" s="5" t="s">
        <v>10191</v>
      </c>
      <c r="C4269" s="5" t="s">
        <v>65</v>
      </c>
      <c r="D4269" s="5" t="s">
        <v>66</v>
      </c>
      <c r="E4269" s="5" t="s">
        <v>226</v>
      </c>
      <c r="F4269" s="9">
        <v>17</v>
      </c>
      <c r="G4269" s="9">
        <v>186</v>
      </c>
      <c r="H4269" s="5" t="s">
        <v>20</v>
      </c>
      <c r="I4269" s="5" t="s">
        <v>10192</v>
      </c>
      <c r="J4269" s="12" t="str">
        <f>HYPERLINK("https://www.boe.es/gazeta/dias/1804/02/28/pdfs/GMD-1804-17.pdf#page=6","Abrir facsímil")</f>
        <v>Abrir facsímil</v>
      </c>
      <c r="K4269" s="15" t="s">
        <v>22</v>
      </c>
    </row>
    <row r="4270" spans="1:11" ht="42" customHeight="1">
      <c r="A4270" s="4" t="s">
        <v>10193</v>
      </c>
      <c r="B4270" s="5" t="s">
        <v>10193</v>
      </c>
      <c r="C4270" s="5" t="s">
        <v>85</v>
      </c>
      <c r="D4270" s="5" t="s">
        <v>86</v>
      </c>
      <c r="E4270" s="5" t="s">
        <v>1095</v>
      </c>
      <c r="F4270" s="9">
        <v>73</v>
      </c>
      <c r="G4270" s="9">
        <v>818</v>
      </c>
      <c r="H4270" s="5" t="s">
        <v>20</v>
      </c>
      <c r="I4270" s="5" t="s">
        <v>10194</v>
      </c>
      <c r="J4270" s="12" t="str">
        <f>HYPERLINK("https://www.boe.es/gazeta/dias/1804/09/11/pdfs/GMD-1804-73.pdf#page=8","Abrir facsímil")</f>
        <v>Abrir facsímil</v>
      </c>
      <c r="K4270" s="15" t="s">
        <v>22</v>
      </c>
    </row>
    <row r="4271" spans="1:11" ht="42" customHeight="1">
      <c r="A4271" s="4" t="s">
        <v>10195</v>
      </c>
      <c r="B4271" s="5" t="s">
        <v>10196</v>
      </c>
      <c r="C4271" s="5" t="s">
        <v>85</v>
      </c>
      <c r="D4271" s="5" t="s">
        <v>86</v>
      </c>
      <c r="E4271" s="5" t="s">
        <v>272</v>
      </c>
      <c r="F4271" s="9">
        <v>30</v>
      </c>
      <c r="G4271" s="9">
        <v>330</v>
      </c>
      <c r="H4271" s="5" t="s">
        <v>20</v>
      </c>
      <c r="I4271" s="5" t="s">
        <v>10197</v>
      </c>
      <c r="J4271" s="12" t="str">
        <f>HYPERLINK("https://www.boe.es/gazeta/dias/1804/04/13/pdfs/GMD-1804-30.pdf#page=8","Abrir facsímil")</f>
        <v>Abrir facsímil</v>
      </c>
      <c r="K4271" s="15" t="s">
        <v>22</v>
      </c>
    </row>
    <row r="4272" spans="1:11" ht="42" customHeight="1">
      <c r="A4272" s="4" t="s">
        <v>10198</v>
      </c>
      <c r="B4272" s="5" t="s">
        <v>10199</v>
      </c>
      <c r="C4272" s="5" t="s">
        <v>17</v>
      </c>
      <c r="D4272" s="5" t="s">
        <v>18</v>
      </c>
      <c r="E4272" s="5" t="s">
        <v>367</v>
      </c>
      <c r="F4272" s="9">
        <v>64</v>
      </c>
      <c r="G4272" s="9">
        <v>716</v>
      </c>
      <c r="H4272" s="5" t="s">
        <v>20</v>
      </c>
      <c r="I4272" s="5" t="s">
        <v>10200</v>
      </c>
      <c r="J4272" s="12" t="str">
        <f>HYPERLINK("https://www.boe.es/gazeta/dias/1804/08/10/pdfs/GMD-1804-64.pdf#page=10","Abrir facsímil")</f>
        <v>Abrir facsímil</v>
      </c>
      <c r="K4272" s="15" t="s">
        <v>22</v>
      </c>
    </row>
    <row r="4273" spans="1:11" ht="42" customHeight="1">
      <c r="A4273" s="4" t="s">
        <v>10201</v>
      </c>
      <c r="B4273" s="5" t="s">
        <v>10202</v>
      </c>
      <c r="C4273" s="5" t="s">
        <v>17</v>
      </c>
      <c r="D4273" s="5" t="s">
        <v>18</v>
      </c>
      <c r="E4273" s="5" t="s">
        <v>350</v>
      </c>
      <c r="F4273" s="9">
        <v>19</v>
      </c>
      <c r="G4273" s="9">
        <v>210</v>
      </c>
      <c r="H4273" s="5" t="s">
        <v>20</v>
      </c>
      <c r="I4273" s="5" t="s">
        <v>10203</v>
      </c>
      <c r="J4273" s="12" t="str">
        <f>HYPERLINK("https://www.boe.es/gazeta/dias/1804/03/06/pdfs/GMD-1804-19.pdf#page=10","Abrir facsímil")</f>
        <v>Abrir facsímil</v>
      </c>
      <c r="K4273" s="15" t="s">
        <v>22</v>
      </c>
    </row>
    <row r="4274" spans="1:11" ht="42" customHeight="1">
      <c r="A4274" s="4" t="s">
        <v>10201</v>
      </c>
      <c r="B4274" s="5" t="s">
        <v>10202</v>
      </c>
      <c r="C4274" s="5" t="s">
        <v>27</v>
      </c>
      <c r="D4274" s="5" t="s">
        <v>28</v>
      </c>
      <c r="E4274" s="5" t="s">
        <v>497</v>
      </c>
      <c r="F4274" s="9">
        <v>25</v>
      </c>
      <c r="G4274" s="9">
        <v>285</v>
      </c>
      <c r="H4274" s="5" t="s">
        <v>20</v>
      </c>
      <c r="I4274" s="5" t="s">
        <v>10204</v>
      </c>
      <c r="J4274" s="12" t="str">
        <f>HYPERLINK("https://www.boe.es/gazeta/dias/1804/03/27/pdfs/GMD-1804-25.pdf#page=7","Abrir facsímil")</f>
        <v>Abrir facsímil</v>
      </c>
      <c r="K4274" s="15" t="s">
        <v>22</v>
      </c>
    </row>
    <row r="4275" spans="1:11" ht="42" customHeight="1">
      <c r="A4275" s="4" t="s">
        <v>10205</v>
      </c>
      <c r="B4275" s="5" t="s">
        <v>10206</v>
      </c>
      <c r="C4275" s="5" t="s">
        <v>27</v>
      </c>
      <c r="D4275" s="5" t="s">
        <v>28</v>
      </c>
      <c r="E4275" s="5" t="s">
        <v>91</v>
      </c>
      <c r="F4275" s="9">
        <v>72</v>
      </c>
      <c r="G4275" s="9">
        <v>806</v>
      </c>
      <c r="H4275" s="5" t="s">
        <v>20</v>
      </c>
      <c r="I4275" s="5" t="s">
        <v>10207</v>
      </c>
      <c r="J4275" s="12" t="str">
        <f>HYPERLINK("https://www.boe.es/gazeta/dias/1804/09/07/pdfs/GMD-1804-72.pdf#page=8","Abrir facsímil")</f>
        <v>Abrir facsímil</v>
      </c>
      <c r="K4275" s="15" t="s">
        <v>22</v>
      </c>
    </row>
    <row r="4276" spans="1:11" ht="42" customHeight="1">
      <c r="A4276" s="4" t="s">
        <v>10208</v>
      </c>
      <c r="B4276" s="5" t="s">
        <v>10209</v>
      </c>
      <c r="C4276" s="5" t="s">
        <v>27</v>
      </c>
      <c r="D4276" s="5" t="s">
        <v>28</v>
      </c>
      <c r="E4276" s="5" t="s">
        <v>61</v>
      </c>
      <c r="F4276" s="9">
        <v>61</v>
      </c>
      <c r="G4276" s="9">
        <v>677</v>
      </c>
      <c r="H4276" s="5" t="s">
        <v>20</v>
      </c>
      <c r="I4276" s="5" t="s">
        <v>10210</v>
      </c>
      <c r="J4276" s="12" t="str">
        <f>HYPERLINK("https://www.boe.es/gazeta/dias/1804/07/31/pdfs/GMD-1804-61.pdf#page=7","Abrir facsímil")</f>
        <v>Abrir facsímil</v>
      </c>
      <c r="K4276" s="15" t="s">
        <v>22</v>
      </c>
    </row>
    <row r="4277" spans="1:11" ht="42" customHeight="1">
      <c r="A4277" s="4" t="s">
        <v>10211</v>
      </c>
      <c r="B4277" s="5" t="s">
        <v>10212</v>
      </c>
      <c r="C4277" s="5" t="s">
        <v>262</v>
      </c>
      <c r="D4277" s="5" t="s">
        <v>263</v>
      </c>
      <c r="E4277" s="5" t="s">
        <v>398</v>
      </c>
      <c r="F4277" s="9">
        <v>22</v>
      </c>
      <c r="G4277" s="9">
        <v>250</v>
      </c>
      <c r="H4277" s="5" t="s">
        <v>20</v>
      </c>
      <c r="I4277" s="5" t="s">
        <v>10213</v>
      </c>
      <c r="J4277" s="12" t="str">
        <f>HYPERLINK("https://www.boe.es/gazeta/dias/1804/03/16/pdfs/GMD-C-1804-22.pdf#page=2","Abrir facsímil")</f>
        <v>Abrir facsímil</v>
      </c>
      <c r="K4277" s="15" t="s">
        <v>22</v>
      </c>
    </row>
    <row r="4278" spans="1:11" ht="42" customHeight="1">
      <c r="A4278" s="4" t="s">
        <v>10211</v>
      </c>
      <c r="B4278" s="5" t="s">
        <v>10212</v>
      </c>
      <c r="C4278" s="5" t="s">
        <v>262</v>
      </c>
      <c r="D4278" s="5" t="s">
        <v>263</v>
      </c>
      <c r="E4278" s="5" t="s">
        <v>666</v>
      </c>
      <c r="F4278" s="9">
        <v>57</v>
      </c>
      <c r="G4278" s="9">
        <v>636</v>
      </c>
      <c r="H4278" s="5" t="s">
        <v>20</v>
      </c>
      <c r="I4278" s="5" t="s">
        <v>10214</v>
      </c>
      <c r="J4278" s="12" t="str">
        <f>HYPERLINK("https://www.boe.es/gazeta/dias/1804/07/17/pdfs/GMD-C-1804-57.pdf#page=2","Abrir facsímil")</f>
        <v>Abrir facsímil</v>
      </c>
      <c r="K4278" s="15" t="s">
        <v>22</v>
      </c>
    </row>
    <row r="4279" spans="1:11" ht="42" customHeight="1">
      <c r="A4279" s="4" t="s">
        <v>10215</v>
      </c>
      <c r="B4279" s="5" t="s">
        <v>10216</v>
      </c>
      <c r="C4279" s="5" t="s">
        <v>17</v>
      </c>
      <c r="D4279" s="5" t="s">
        <v>18</v>
      </c>
      <c r="E4279" s="5" t="s">
        <v>71</v>
      </c>
      <c r="F4279" s="9">
        <v>99</v>
      </c>
      <c r="G4279" s="9">
        <v>1107</v>
      </c>
      <c r="H4279" s="5" t="s">
        <v>20</v>
      </c>
      <c r="I4279" s="5" t="s">
        <v>10217</v>
      </c>
      <c r="J4279" s="12" t="str">
        <f>HYPERLINK("https://www.boe.es/gazeta/dias/1804/12/11/pdfs/GMD-1804-99.pdf#page=7","Abrir facsímil")</f>
        <v>Abrir facsímil</v>
      </c>
      <c r="K4279" s="15" t="s">
        <v>22</v>
      </c>
    </row>
    <row r="4280" spans="1:11" ht="42" customHeight="1">
      <c r="A4280" s="4" t="s">
        <v>10218</v>
      </c>
      <c r="B4280" s="5" t="s">
        <v>10219</v>
      </c>
      <c r="C4280" s="5" t="s">
        <v>27</v>
      </c>
      <c r="D4280" s="5" t="s">
        <v>28</v>
      </c>
      <c r="E4280" s="5" t="s">
        <v>497</v>
      </c>
      <c r="F4280" s="9">
        <v>25</v>
      </c>
      <c r="G4280" s="9">
        <v>285</v>
      </c>
      <c r="H4280" s="5" t="s">
        <v>20</v>
      </c>
      <c r="I4280" s="5" t="s">
        <v>10220</v>
      </c>
      <c r="J4280" s="12" t="str">
        <f>HYPERLINK("https://www.boe.es/gazeta/dias/1804/03/27/pdfs/GMD-1804-25.pdf#page=7","Abrir facsímil")</f>
        <v>Abrir facsímil</v>
      </c>
      <c r="K4280" s="15" t="s">
        <v>22</v>
      </c>
    </row>
    <row r="4281" spans="1:11" ht="42" customHeight="1">
      <c r="A4281" s="4" t="s">
        <v>10221</v>
      </c>
      <c r="B4281" s="5" t="s">
        <v>10222</v>
      </c>
      <c r="C4281" s="5" t="s">
        <v>198</v>
      </c>
      <c r="D4281" s="5" t="s">
        <v>66</v>
      </c>
      <c r="E4281" s="5" t="s">
        <v>857</v>
      </c>
      <c r="F4281" s="9">
        <v>28</v>
      </c>
      <c r="G4281" s="9">
        <v>309</v>
      </c>
      <c r="H4281" s="5" t="s">
        <v>20</v>
      </c>
      <c r="I4281" s="5" t="s">
        <v>10223</v>
      </c>
      <c r="J4281" s="12" t="str">
        <f>HYPERLINK("https://www.boe.es/gazeta/dias/1804/04/06/pdfs/GMD-1804-28.pdf#page=7","Abrir facsímil")</f>
        <v>Abrir facsímil</v>
      </c>
      <c r="K4281" s="15" t="s">
        <v>22</v>
      </c>
    </row>
    <row r="4282" spans="1:11" ht="42" customHeight="1">
      <c r="A4282" s="4" t="s">
        <v>10224</v>
      </c>
      <c r="B4282" s="5" t="s">
        <v>10225</v>
      </c>
      <c r="C4282" s="5" t="s">
        <v>27</v>
      </c>
      <c r="D4282" s="5" t="s">
        <v>28</v>
      </c>
      <c r="E4282" s="5" t="s">
        <v>298</v>
      </c>
      <c r="F4282" s="9">
        <v>10</v>
      </c>
      <c r="G4282" s="9">
        <v>111</v>
      </c>
      <c r="H4282" s="5" t="s">
        <v>20</v>
      </c>
      <c r="I4282" s="5" t="s">
        <v>10226</v>
      </c>
      <c r="J4282" s="12" t="str">
        <f>HYPERLINK("https://www.boe.es/gazeta/dias/1804/02/03/pdfs/GMD-1804-10.pdf#page=11","Abrir facsímil")</f>
        <v>Abrir facsímil</v>
      </c>
      <c r="K4282" s="15" t="s">
        <v>22</v>
      </c>
    </row>
    <row r="4283" spans="1:11" ht="42" customHeight="1">
      <c r="A4283" s="4" t="s">
        <v>10227</v>
      </c>
      <c r="B4283" s="5" t="s">
        <v>10228</v>
      </c>
      <c r="C4283" s="5" t="s">
        <v>27</v>
      </c>
      <c r="D4283" s="5" t="s">
        <v>28</v>
      </c>
      <c r="E4283" s="5" t="s">
        <v>91</v>
      </c>
      <c r="F4283" s="9">
        <v>72</v>
      </c>
      <c r="G4283" s="9">
        <v>805</v>
      </c>
      <c r="H4283" s="5" t="s">
        <v>20</v>
      </c>
      <c r="I4283" s="5" t="s">
        <v>10229</v>
      </c>
      <c r="J4283" s="12" t="str">
        <f>HYPERLINK("https://www.boe.es/gazeta/dias/1804/09/07/pdfs/GMD-1804-72.pdf#page=7","Abrir facsímil")</f>
        <v>Abrir facsímil</v>
      </c>
      <c r="K4283" s="15" t="s">
        <v>22</v>
      </c>
    </row>
    <row r="4284" spans="1:11" ht="42" customHeight="1">
      <c r="A4284" s="4" t="s">
        <v>10230</v>
      </c>
      <c r="B4284" s="5" t="s">
        <v>10231</v>
      </c>
      <c r="C4284" s="5" t="s">
        <v>27</v>
      </c>
      <c r="D4284" s="5" t="s">
        <v>28</v>
      </c>
      <c r="E4284" s="5" t="s">
        <v>1179</v>
      </c>
      <c r="F4284" s="9">
        <v>43</v>
      </c>
      <c r="G4284" s="9">
        <v>480</v>
      </c>
      <c r="H4284" s="5" t="s">
        <v>20</v>
      </c>
      <c r="I4284" s="5" t="s">
        <v>10232</v>
      </c>
      <c r="J4284" s="12" t="str">
        <f>HYPERLINK("https://www.boe.es/gazeta/dias/1804/05/29/pdfs/GMD-1804-43.pdf#page=6","Abrir facsímil")</f>
        <v>Abrir facsímil</v>
      </c>
      <c r="K4284" s="15" t="s">
        <v>22</v>
      </c>
    </row>
    <row r="4285" spans="1:11" ht="42" customHeight="1">
      <c r="A4285" s="4" t="s">
        <v>10233</v>
      </c>
      <c r="B4285" s="5" t="s">
        <v>10234</v>
      </c>
      <c r="C4285" s="5" t="s">
        <v>27</v>
      </c>
      <c r="D4285" s="5" t="s">
        <v>28</v>
      </c>
      <c r="E4285" s="5" t="s">
        <v>81</v>
      </c>
      <c r="F4285" s="9">
        <v>98</v>
      </c>
      <c r="G4285" s="9">
        <v>1088</v>
      </c>
      <c r="H4285" s="5" t="s">
        <v>20</v>
      </c>
      <c r="I4285" s="5" t="s">
        <v>10235</v>
      </c>
      <c r="J4285" s="12" t="str">
        <f>HYPERLINK("https://www.boe.es/gazeta/dias/1804/12/07/pdfs/GMD-1804-98.pdf#page=4","Abrir facsímil")</f>
        <v>Abrir facsímil</v>
      </c>
      <c r="K4285" s="15" t="s">
        <v>22</v>
      </c>
    </row>
    <row r="4286" spans="1:11" ht="42" customHeight="1">
      <c r="A4286" s="4" t="s">
        <v>10236</v>
      </c>
      <c r="B4286" s="5" t="s">
        <v>10237</v>
      </c>
      <c r="C4286" s="5" t="s">
        <v>27</v>
      </c>
      <c r="D4286" s="5" t="s">
        <v>28</v>
      </c>
      <c r="E4286" s="5" t="s">
        <v>172</v>
      </c>
      <c r="F4286" s="9">
        <v>38</v>
      </c>
      <c r="G4286" s="9">
        <v>424</v>
      </c>
      <c r="H4286" s="5" t="s">
        <v>20</v>
      </c>
      <c r="I4286" s="5" t="s">
        <v>10238</v>
      </c>
      <c r="J4286" s="12" t="str">
        <f>HYPERLINK("https://www.boe.es/gazeta/dias/1804/05/11/pdfs/GMD-1804-38.pdf#page=10","Abrir facsímil")</f>
        <v>Abrir facsímil</v>
      </c>
      <c r="K4286" s="15" t="s">
        <v>22</v>
      </c>
    </row>
    <row r="4287" spans="1:11" ht="42" customHeight="1">
      <c r="A4287" s="4" t="s">
        <v>10239</v>
      </c>
      <c r="B4287" s="5" t="s">
        <v>10240</v>
      </c>
      <c r="C4287" s="5" t="s">
        <v>27</v>
      </c>
      <c r="D4287" s="5" t="s">
        <v>28</v>
      </c>
      <c r="E4287" s="5" t="s">
        <v>91</v>
      </c>
      <c r="F4287" s="9">
        <v>72</v>
      </c>
      <c r="G4287" s="9">
        <v>806</v>
      </c>
      <c r="H4287" s="5" t="s">
        <v>20</v>
      </c>
      <c r="I4287" s="5" t="s">
        <v>10241</v>
      </c>
      <c r="J4287" s="12" t="str">
        <f>HYPERLINK("https://www.boe.es/gazeta/dias/1804/09/07/pdfs/GMD-1804-72.pdf#page=8","Abrir facsímil")</f>
        <v>Abrir facsímil</v>
      </c>
      <c r="K4287" s="15" t="s">
        <v>22</v>
      </c>
    </row>
    <row r="4288" spans="1:11" ht="42" customHeight="1">
      <c r="A4288" s="4" t="s">
        <v>10242</v>
      </c>
      <c r="B4288" s="5" t="s">
        <v>10243</v>
      </c>
      <c r="C4288" s="5" t="s">
        <v>27</v>
      </c>
      <c r="D4288" s="5" t="s">
        <v>28</v>
      </c>
      <c r="E4288" s="5" t="s">
        <v>388</v>
      </c>
      <c r="F4288" s="9">
        <v>18</v>
      </c>
      <c r="G4288" s="9">
        <v>198</v>
      </c>
      <c r="H4288" s="5" t="s">
        <v>20</v>
      </c>
      <c r="I4288" s="5" t="s">
        <v>10244</v>
      </c>
      <c r="J4288" s="12" t="str">
        <f>HYPERLINK("https://www.boe.es/gazeta/dias/1804/03/02/pdfs/GMD-1804-18.pdf#page=10","Abrir facsímil")</f>
        <v>Abrir facsímil</v>
      </c>
      <c r="K4288" s="15" t="s">
        <v>22</v>
      </c>
    </row>
    <row r="4289" spans="1:11" ht="42" customHeight="1">
      <c r="A4289" s="4" t="s">
        <v>10245</v>
      </c>
      <c r="B4289" s="5" t="s">
        <v>10246</v>
      </c>
      <c r="C4289" s="5" t="s">
        <v>27</v>
      </c>
      <c r="D4289" s="5" t="s">
        <v>28</v>
      </c>
      <c r="E4289" s="5" t="s">
        <v>490</v>
      </c>
      <c r="F4289" s="9">
        <v>100</v>
      </c>
      <c r="G4289" s="9">
        <v>1118</v>
      </c>
      <c r="H4289" s="5" t="s">
        <v>20</v>
      </c>
      <c r="I4289" s="5" t="s">
        <v>10247</v>
      </c>
      <c r="J4289" s="12" t="str">
        <f>HYPERLINK("https://www.boe.es/gazeta/dias/1804/12/14/pdfs/GMD-1804-100.pdf#page=10","Abrir facsímil")</f>
        <v>Abrir facsímil</v>
      </c>
      <c r="K4289" s="15" t="s">
        <v>22</v>
      </c>
    </row>
    <row r="4290" spans="1:11" ht="42" customHeight="1">
      <c r="A4290" s="4" t="s">
        <v>10248</v>
      </c>
      <c r="B4290" s="5" t="s">
        <v>10249</v>
      </c>
      <c r="C4290" s="5" t="s">
        <v>27</v>
      </c>
      <c r="D4290" s="5" t="s">
        <v>28</v>
      </c>
      <c r="E4290" s="5" t="s">
        <v>1179</v>
      </c>
      <c r="F4290" s="9">
        <v>43</v>
      </c>
      <c r="G4290" s="9">
        <v>480</v>
      </c>
      <c r="H4290" s="5" t="s">
        <v>20</v>
      </c>
      <c r="I4290" s="5" t="s">
        <v>10250</v>
      </c>
      <c r="J4290" s="12" t="str">
        <f>HYPERLINK("https://www.boe.es/gazeta/dias/1804/05/29/pdfs/GMD-1804-43.pdf#page=6","Abrir facsímil")</f>
        <v>Abrir facsímil</v>
      </c>
      <c r="K4290" s="15" t="s">
        <v>22</v>
      </c>
    </row>
    <row r="4291" spans="1:11" ht="42" customHeight="1">
      <c r="A4291" s="4" t="s">
        <v>10251</v>
      </c>
      <c r="B4291" s="5" t="s">
        <v>10252</v>
      </c>
      <c r="C4291" s="5" t="s">
        <v>198</v>
      </c>
      <c r="D4291" s="5" t="s">
        <v>66</v>
      </c>
      <c r="E4291" s="5" t="s">
        <v>350</v>
      </c>
      <c r="F4291" s="9">
        <v>19</v>
      </c>
      <c r="G4291" s="9">
        <v>212</v>
      </c>
      <c r="H4291" s="5" t="s">
        <v>20</v>
      </c>
      <c r="I4291" s="5" t="s">
        <v>10253</v>
      </c>
      <c r="J4291" s="12" t="str">
        <f>HYPERLINK("https://www.boe.es/gazeta/dias/1804/03/06/pdfs/GMD-1804-19.pdf#page=12","Abrir facsímil")</f>
        <v>Abrir facsímil</v>
      </c>
      <c r="K4291" s="15" t="s">
        <v>22</v>
      </c>
    </row>
    <row r="4292" spans="1:11" ht="42" customHeight="1">
      <c r="A4292" s="4" t="s">
        <v>10251</v>
      </c>
      <c r="B4292" s="5" t="s">
        <v>10252</v>
      </c>
      <c r="C4292" s="5" t="s">
        <v>120</v>
      </c>
      <c r="D4292" s="5" t="s">
        <v>121</v>
      </c>
      <c r="E4292" s="5" t="s">
        <v>33</v>
      </c>
      <c r="F4292" s="9">
        <v>48</v>
      </c>
      <c r="G4292" s="9" t="s">
        <v>285</v>
      </c>
      <c r="H4292" s="5" t="s">
        <v>20</v>
      </c>
      <c r="I4292" s="5" t="s">
        <v>10254</v>
      </c>
      <c r="J4292" s="12" t="str">
        <f>HYPERLINK("https://www.boe.es/gazeta/dias/1804/06/15/pdfs/GMD-C-1804-48.pdf#page=2","Abrir facsímil")</f>
        <v>Abrir facsímil</v>
      </c>
      <c r="K4292" s="15" t="s">
        <v>22</v>
      </c>
    </row>
    <row r="4293" spans="1:11" ht="42" customHeight="1">
      <c r="A4293" s="4" t="s">
        <v>10251</v>
      </c>
      <c r="B4293" s="5" t="s">
        <v>10252</v>
      </c>
      <c r="C4293" s="5" t="s">
        <v>120</v>
      </c>
      <c r="D4293" s="5" t="s">
        <v>121</v>
      </c>
      <c r="E4293" s="5" t="s">
        <v>33</v>
      </c>
      <c r="F4293" s="9">
        <v>48</v>
      </c>
      <c r="G4293" s="9" t="s">
        <v>122</v>
      </c>
      <c r="H4293" s="5" t="s">
        <v>20</v>
      </c>
      <c r="I4293" s="5" t="s">
        <v>10255</v>
      </c>
      <c r="J4293" s="12" t="str">
        <f>HYPERLINK("https://www.boe.es/gazeta/dias/1804/06/15/pdfs/GMD-C-1804-48.pdf#page=3","Abrir facsímil")</f>
        <v>Abrir facsímil</v>
      </c>
      <c r="K4293" s="15" t="s">
        <v>22</v>
      </c>
    </row>
    <row r="4294" spans="1:11" ht="42" customHeight="1">
      <c r="A4294" s="4" t="s">
        <v>10256</v>
      </c>
      <c r="B4294" s="5" t="s">
        <v>10257</v>
      </c>
      <c r="C4294" s="5" t="s">
        <v>65</v>
      </c>
      <c r="D4294" s="5" t="s">
        <v>66</v>
      </c>
      <c r="E4294" s="5" t="s">
        <v>670</v>
      </c>
      <c r="F4294" s="9">
        <v>41</v>
      </c>
      <c r="G4294" s="9">
        <v>460</v>
      </c>
      <c r="H4294" s="5" t="s">
        <v>20</v>
      </c>
      <c r="I4294" s="5" t="s">
        <v>10258</v>
      </c>
      <c r="J4294" s="12" t="str">
        <f>HYPERLINK("https://www.boe.es/gazeta/dias/1804/05/22/pdfs/GMD-1804-41.pdf#page=10","Abrir facsímil")</f>
        <v>Abrir facsímil</v>
      </c>
      <c r="K4294" s="15" t="s">
        <v>22</v>
      </c>
    </row>
    <row r="4295" spans="1:11" ht="42" customHeight="1">
      <c r="A4295" s="4" t="s">
        <v>10259</v>
      </c>
      <c r="B4295" s="5" t="s">
        <v>10260</v>
      </c>
      <c r="C4295" s="5" t="s">
        <v>120</v>
      </c>
      <c r="D4295" s="5" t="s">
        <v>121</v>
      </c>
      <c r="E4295" s="5" t="s">
        <v>33</v>
      </c>
      <c r="F4295" s="9">
        <v>48</v>
      </c>
      <c r="G4295" s="9" t="s">
        <v>98</v>
      </c>
      <c r="H4295" s="5" t="s">
        <v>20</v>
      </c>
      <c r="I4295" s="5" t="s">
        <v>10261</v>
      </c>
      <c r="J4295" s="12" t="str">
        <f>HYPERLINK("https://www.boe.es/gazeta/dias/1804/06/15/pdfs/GMD-C-1804-48.pdf#page=1","Abrir facsímil")</f>
        <v>Abrir facsímil</v>
      </c>
      <c r="K4295" s="15" t="s">
        <v>22</v>
      </c>
    </row>
    <row r="4296" spans="1:11" ht="42" customHeight="1">
      <c r="A4296" s="4" t="s">
        <v>10262</v>
      </c>
      <c r="B4296" s="5" t="s">
        <v>10263</v>
      </c>
      <c r="C4296" s="5" t="s">
        <v>27</v>
      </c>
      <c r="D4296" s="5" t="s">
        <v>28</v>
      </c>
      <c r="E4296" s="5" t="s">
        <v>736</v>
      </c>
      <c r="F4296" s="9">
        <v>83</v>
      </c>
      <c r="G4296" s="9">
        <v>919</v>
      </c>
      <c r="H4296" s="5" t="s">
        <v>20</v>
      </c>
      <c r="I4296" s="5" t="s">
        <v>10264</v>
      </c>
      <c r="J4296" s="12" t="str">
        <f>HYPERLINK("https://www.boe.es/gazeta/dias/1804/10/16/pdfs/GMD-1804-83.pdf#page=9","Abrir facsímil")</f>
        <v>Abrir facsímil</v>
      </c>
      <c r="K4296" s="15" t="s">
        <v>22</v>
      </c>
    </row>
    <row r="4297" spans="1:11" ht="42" customHeight="1">
      <c r="A4297" s="4" t="s">
        <v>10265</v>
      </c>
      <c r="B4297" s="5" t="s">
        <v>10266</v>
      </c>
      <c r="C4297" s="5" t="s">
        <v>27</v>
      </c>
      <c r="D4297" s="5" t="s">
        <v>28</v>
      </c>
      <c r="E4297" s="5" t="s">
        <v>479</v>
      </c>
      <c r="F4297" s="9">
        <v>5</v>
      </c>
      <c r="G4297" s="9">
        <v>47</v>
      </c>
      <c r="H4297" s="5" t="s">
        <v>20</v>
      </c>
      <c r="I4297" s="5" t="s">
        <v>10267</v>
      </c>
      <c r="J4297" s="12" t="str">
        <f>HYPERLINK("https://www.boe.es/gazeta/dias/1804/01/17/pdfs/GMD-1804-5.pdf#page=7","Abrir facsímil")</f>
        <v>Abrir facsímil</v>
      </c>
      <c r="K4297" s="15" t="s">
        <v>22</v>
      </c>
    </row>
    <row r="4298" spans="1:11" ht="42" customHeight="1">
      <c r="A4298" s="4" t="s">
        <v>10265</v>
      </c>
      <c r="B4298" s="5" t="s">
        <v>10266</v>
      </c>
      <c r="C4298" s="5" t="s">
        <v>27</v>
      </c>
      <c r="D4298" s="5" t="s">
        <v>28</v>
      </c>
      <c r="E4298" s="5" t="s">
        <v>388</v>
      </c>
      <c r="F4298" s="9">
        <v>18</v>
      </c>
      <c r="G4298" s="9">
        <v>198</v>
      </c>
      <c r="H4298" s="5" t="s">
        <v>20</v>
      </c>
      <c r="I4298" s="5" t="s">
        <v>10268</v>
      </c>
      <c r="J4298" s="12" t="str">
        <f>HYPERLINK("https://www.boe.es/gazeta/dias/1804/03/02/pdfs/GMD-1804-18.pdf#page=10","Abrir facsímil")</f>
        <v>Abrir facsímil</v>
      </c>
      <c r="K4298" s="15" t="s">
        <v>22</v>
      </c>
    </row>
    <row r="4299" spans="1:11" ht="42" customHeight="1">
      <c r="A4299" s="4" t="s">
        <v>10265</v>
      </c>
      <c r="B4299" s="5" t="s">
        <v>10266</v>
      </c>
      <c r="C4299" s="5" t="s">
        <v>27</v>
      </c>
      <c r="D4299" s="5" t="s">
        <v>28</v>
      </c>
      <c r="E4299" s="5" t="s">
        <v>670</v>
      </c>
      <c r="F4299" s="9">
        <v>41</v>
      </c>
      <c r="G4299" s="9">
        <v>458</v>
      </c>
      <c r="H4299" s="5" t="s">
        <v>20</v>
      </c>
      <c r="I4299" s="5" t="s">
        <v>10269</v>
      </c>
      <c r="J4299" s="12" t="str">
        <f>HYPERLINK("https://www.boe.es/gazeta/dias/1804/05/22/pdfs/GMD-1804-41.pdf#page=8","Abrir facsímil")</f>
        <v>Abrir facsímil</v>
      </c>
      <c r="K4299" s="15" t="s">
        <v>22</v>
      </c>
    </row>
    <row r="4300" spans="1:11" ht="42" customHeight="1">
      <c r="A4300" s="4" t="s">
        <v>10270</v>
      </c>
      <c r="B4300" s="5" t="s">
        <v>10271</v>
      </c>
      <c r="C4300" s="5" t="s">
        <v>120</v>
      </c>
      <c r="D4300" s="5" t="s">
        <v>121</v>
      </c>
      <c r="E4300" s="5" t="s">
        <v>33</v>
      </c>
      <c r="F4300" s="9">
        <v>48</v>
      </c>
      <c r="G4300" s="9" t="s">
        <v>285</v>
      </c>
      <c r="H4300" s="5" t="s">
        <v>20</v>
      </c>
      <c r="I4300" s="5" t="s">
        <v>10272</v>
      </c>
      <c r="J4300" s="12" t="str">
        <f>HYPERLINK("https://www.boe.es/gazeta/dias/1804/06/15/pdfs/GMD-C-1804-48.pdf#page=2","Abrir facsímil")</f>
        <v>Abrir facsímil</v>
      </c>
      <c r="K4300" s="15" t="s">
        <v>22</v>
      </c>
    </row>
    <row r="4301" spans="1:11" ht="42" customHeight="1">
      <c r="A4301" s="4" t="s">
        <v>10270</v>
      </c>
      <c r="B4301" s="5" t="s">
        <v>10271</v>
      </c>
      <c r="C4301" s="5" t="s">
        <v>120</v>
      </c>
      <c r="D4301" s="5" t="s">
        <v>121</v>
      </c>
      <c r="E4301" s="5" t="s">
        <v>33</v>
      </c>
      <c r="F4301" s="9">
        <v>48</v>
      </c>
      <c r="G4301" s="9" t="s">
        <v>819</v>
      </c>
      <c r="H4301" s="5" t="s">
        <v>20</v>
      </c>
      <c r="I4301" s="5" t="s">
        <v>10273</v>
      </c>
      <c r="J4301" s="12" t="str">
        <f>HYPERLINK("https://www.boe.es/gazeta/dias/1804/06/15/pdfs/GMD-C-1804-48.pdf#page=4","Abrir facsímil")</f>
        <v>Abrir facsímil</v>
      </c>
      <c r="K4301" s="15" t="s">
        <v>22</v>
      </c>
    </row>
    <row r="4302" spans="1:11" ht="42" customHeight="1">
      <c r="A4302" s="4" t="s">
        <v>10274</v>
      </c>
      <c r="B4302" s="5" t="s">
        <v>10275</v>
      </c>
      <c r="C4302" s="5" t="s">
        <v>120</v>
      </c>
      <c r="D4302" s="5" t="s">
        <v>121</v>
      </c>
      <c r="E4302" s="5" t="s">
        <v>33</v>
      </c>
      <c r="F4302" s="9">
        <v>48</v>
      </c>
      <c r="G4302" s="9" t="s">
        <v>285</v>
      </c>
      <c r="H4302" s="5" t="s">
        <v>20</v>
      </c>
      <c r="I4302" s="5" t="s">
        <v>10276</v>
      </c>
      <c r="J4302" s="12" t="str">
        <f>HYPERLINK("https://www.boe.es/gazeta/dias/1804/06/15/pdfs/GMD-C-1804-48.pdf#page=2","Abrir facsímil")</f>
        <v>Abrir facsímil</v>
      </c>
      <c r="K4302" s="15" t="s">
        <v>22</v>
      </c>
    </row>
    <row r="4303" spans="1:11" ht="42" customHeight="1">
      <c r="A4303" s="4" t="s">
        <v>10274</v>
      </c>
      <c r="B4303" s="5" t="s">
        <v>10275</v>
      </c>
      <c r="C4303" s="5" t="s">
        <v>27</v>
      </c>
      <c r="D4303" s="5" t="s">
        <v>28</v>
      </c>
      <c r="E4303" s="5" t="s">
        <v>736</v>
      </c>
      <c r="F4303" s="9">
        <v>83</v>
      </c>
      <c r="G4303" s="9">
        <v>920</v>
      </c>
      <c r="H4303" s="5" t="s">
        <v>20</v>
      </c>
      <c r="I4303" s="5" t="s">
        <v>10277</v>
      </c>
      <c r="J4303" s="12" t="str">
        <f>HYPERLINK("https://www.boe.es/gazeta/dias/1804/10/16/pdfs/GMD-1804-83.pdf#page=10","Abrir facsímil")</f>
        <v>Abrir facsímil</v>
      </c>
      <c r="K4303" s="15" t="s">
        <v>22</v>
      </c>
    </row>
    <row r="4304" spans="1:11" ht="42" customHeight="1">
      <c r="A4304" s="4" t="s">
        <v>10278</v>
      </c>
      <c r="B4304" s="5" t="s">
        <v>10279</v>
      </c>
      <c r="C4304" s="5" t="s">
        <v>27</v>
      </c>
      <c r="D4304" s="5" t="s">
        <v>28</v>
      </c>
      <c r="E4304" s="5" t="s">
        <v>140</v>
      </c>
      <c r="F4304" s="9">
        <v>39</v>
      </c>
      <c r="G4304" s="9">
        <v>430</v>
      </c>
      <c r="H4304" s="5" t="s">
        <v>20</v>
      </c>
      <c r="I4304" s="5" t="s">
        <v>10280</v>
      </c>
      <c r="J4304" s="12" t="str">
        <f>HYPERLINK("https://www.boe.es/gazeta/dias/1804/05/15/pdfs/GMD-1804-39.pdf#page=4","Abrir facsímil")</f>
        <v>Abrir facsímil</v>
      </c>
      <c r="K4304" s="15" t="s">
        <v>22</v>
      </c>
    </row>
    <row r="4305" spans="1:11" ht="42" customHeight="1">
      <c r="A4305" s="4" t="s">
        <v>10281</v>
      </c>
      <c r="B4305" s="5" t="s">
        <v>10281</v>
      </c>
      <c r="C4305" s="5" t="s">
        <v>57</v>
      </c>
      <c r="D4305" s="5" t="s">
        <v>58</v>
      </c>
      <c r="E4305" s="5" t="s">
        <v>163</v>
      </c>
      <c r="F4305" s="9">
        <v>70</v>
      </c>
      <c r="G4305" s="9">
        <v>782</v>
      </c>
      <c r="H4305" s="5" t="s">
        <v>20</v>
      </c>
      <c r="I4305" s="5" t="s">
        <v>10282</v>
      </c>
      <c r="J4305" s="12" t="str">
        <f>HYPERLINK("https://www.boe.es/gazeta/dias/1804/08/31/pdfs/GMD-1804-70.pdf#page=4","Abrir facsímil")</f>
        <v>Abrir facsímil</v>
      </c>
      <c r="K4305" s="15" t="s">
        <v>22</v>
      </c>
    </row>
    <row r="4306" spans="1:11" ht="42" customHeight="1">
      <c r="A4306" s="4" t="s">
        <v>10281</v>
      </c>
      <c r="B4306" s="5" t="s">
        <v>10281</v>
      </c>
      <c r="C4306" s="5" t="s">
        <v>198</v>
      </c>
      <c r="D4306" s="5" t="s">
        <v>66</v>
      </c>
      <c r="E4306" s="5" t="s">
        <v>678</v>
      </c>
      <c r="F4306" s="9">
        <v>104</v>
      </c>
      <c r="G4306" s="9">
        <v>1158</v>
      </c>
      <c r="H4306" s="5" t="s">
        <v>20</v>
      </c>
      <c r="I4306" s="5" t="s">
        <v>10283</v>
      </c>
      <c r="J4306" s="12" t="str">
        <f>HYPERLINK("https://www.boe.es/gazeta/dias/1804/12/28/pdfs/GMD-1804-104.pdf#page=6","Abrir facsímil")</f>
        <v>Abrir facsímil</v>
      </c>
      <c r="K4306" s="15" t="s">
        <v>22</v>
      </c>
    </row>
    <row r="4307" spans="1:11" ht="42" customHeight="1">
      <c r="A4307" s="4" t="s">
        <v>10284</v>
      </c>
      <c r="B4307" s="5" t="s">
        <v>10285</v>
      </c>
      <c r="C4307" s="5" t="s">
        <v>27</v>
      </c>
      <c r="D4307" s="5" t="s">
        <v>28</v>
      </c>
      <c r="E4307" s="5" t="s">
        <v>132</v>
      </c>
      <c r="F4307" s="9">
        <v>52</v>
      </c>
      <c r="G4307" s="9">
        <v>573</v>
      </c>
      <c r="H4307" s="5" t="s">
        <v>20</v>
      </c>
      <c r="I4307" s="5" t="s">
        <v>10286</v>
      </c>
      <c r="J4307" s="12" t="str">
        <f>HYPERLINK("https://www.boe.es/gazeta/dias/1804/06/29/pdfs/GMD-1804-52.pdf#page=7","Abrir facsímil")</f>
        <v>Abrir facsímil</v>
      </c>
      <c r="K4307" s="15" t="s">
        <v>22</v>
      </c>
    </row>
    <row r="4308" spans="1:11" ht="42" customHeight="1">
      <c r="A4308" s="4" t="s">
        <v>10287</v>
      </c>
      <c r="B4308" s="5" t="s">
        <v>10288</v>
      </c>
      <c r="C4308" s="5" t="s">
        <v>27</v>
      </c>
      <c r="D4308" s="5" t="s">
        <v>28</v>
      </c>
      <c r="E4308" s="5" t="s">
        <v>490</v>
      </c>
      <c r="F4308" s="9">
        <v>100</v>
      </c>
      <c r="G4308" s="9">
        <v>1119</v>
      </c>
      <c r="H4308" s="5" t="s">
        <v>20</v>
      </c>
      <c r="I4308" s="5" t="s">
        <v>10289</v>
      </c>
      <c r="J4308" s="12" t="str">
        <f>HYPERLINK("https://www.boe.es/gazeta/dias/1804/12/14/pdfs/GMD-1804-100.pdf#page=11","Abrir facsímil")</f>
        <v>Abrir facsímil</v>
      </c>
      <c r="K4308" s="15" t="s">
        <v>22</v>
      </c>
    </row>
    <row r="4309" spans="1:11" ht="42" customHeight="1">
      <c r="A4309" s="4" t="s">
        <v>10290</v>
      </c>
      <c r="B4309" s="5" t="s">
        <v>10291</v>
      </c>
      <c r="C4309" s="5" t="s">
        <v>27</v>
      </c>
      <c r="D4309" s="5" t="s">
        <v>28</v>
      </c>
      <c r="E4309" s="5" t="s">
        <v>264</v>
      </c>
      <c r="F4309" s="9">
        <v>49</v>
      </c>
      <c r="G4309" s="9">
        <v>544</v>
      </c>
      <c r="H4309" s="5" t="s">
        <v>20</v>
      </c>
      <c r="I4309" s="5" t="s">
        <v>10292</v>
      </c>
      <c r="J4309" s="12" t="str">
        <f>HYPERLINK("https://www.boe.es/gazeta/dias/1804/06/19/pdfs/GMD-1804-49.pdf#page=6","Abrir facsímil")</f>
        <v>Abrir facsímil</v>
      </c>
      <c r="K4309" s="15" t="s">
        <v>22</v>
      </c>
    </row>
    <row r="4310" spans="1:11" ht="42" customHeight="1">
      <c r="A4310" s="4" t="s">
        <v>10293</v>
      </c>
      <c r="B4310" s="5" t="s">
        <v>10294</v>
      </c>
      <c r="C4310" s="5" t="s">
        <v>198</v>
      </c>
      <c r="D4310" s="5" t="s">
        <v>66</v>
      </c>
      <c r="E4310" s="5" t="s">
        <v>398</v>
      </c>
      <c r="F4310" s="9">
        <v>22</v>
      </c>
      <c r="G4310" s="9">
        <v>250</v>
      </c>
      <c r="H4310" s="5" t="s">
        <v>20</v>
      </c>
      <c r="I4310" s="5" t="s">
        <v>10295</v>
      </c>
      <c r="J4310" s="12" t="str">
        <f>HYPERLINK("https://www.boe.es/gazeta/dias/1804/03/16/pdfs/GMD-C-1804-22.pdf#page=2","Abrir facsímil")</f>
        <v>Abrir facsímil</v>
      </c>
      <c r="K4310" s="15" t="s">
        <v>22</v>
      </c>
    </row>
    <row r="4311" spans="1:11" ht="42" customHeight="1">
      <c r="A4311" s="4" t="s">
        <v>10293</v>
      </c>
      <c r="B4311" s="5" t="s">
        <v>10294</v>
      </c>
      <c r="C4311" s="5" t="s">
        <v>198</v>
      </c>
      <c r="D4311" s="5" t="s">
        <v>66</v>
      </c>
      <c r="E4311" s="5" t="s">
        <v>666</v>
      </c>
      <c r="F4311" s="9">
        <v>57</v>
      </c>
      <c r="G4311" s="9">
        <v>636</v>
      </c>
      <c r="H4311" s="5" t="s">
        <v>20</v>
      </c>
      <c r="I4311" s="5" t="s">
        <v>10296</v>
      </c>
      <c r="J4311" s="12" t="str">
        <f>HYPERLINK("https://www.boe.es/gazeta/dias/1804/07/17/pdfs/GMD-C-1804-57.pdf#page=2","Abrir facsímil")</f>
        <v>Abrir facsímil</v>
      </c>
      <c r="K4311" s="15" t="s">
        <v>22</v>
      </c>
    </row>
    <row r="4312" spans="1:11" ht="42" customHeight="1">
      <c r="A4312" s="4" t="s">
        <v>10297</v>
      </c>
      <c r="B4312" s="5" t="s">
        <v>10298</v>
      </c>
      <c r="C4312" s="5" t="s">
        <v>85</v>
      </c>
      <c r="D4312" s="5" t="s">
        <v>86</v>
      </c>
      <c r="E4312" s="5" t="s">
        <v>172</v>
      </c>
      <c r="F4312" s="9">
        <v>38</v>
      </c>
      <c r="G4312" s="9">
        <v>426</v>
      </c>
      <c r="H4312" s="5" t="s">
        <v>20</v>
      </c>
      <c r="I4312" s="5" t="s">
        <v>10299</v>
      </c>
      <c r="J4312" s="12" t="str">
        <f>HYPERLINK("https://www.boe.es/gazeta/dias/1804/05/11/pdfs/GMD-1804-38.pdf#page=12","Abrir facsímil")</f>
        <v>Abrir facsímil</v>
      </c>
      <c r="K4312" s="15" t="s">
        <v>22</v>
      </c>
    </row>
    <row r="4313" spans="1:11" ht="42" customHeight="1">
      <c r="A4313" s="4" t="s">
        <v>10300</v>
      </c>
      <c r="B4313" s="5" t="s">
        <v>10300</v>
      </c>
      <c r="C4313" s="5" t="s">
        <v>17</v>
      </c>
      <c r="D4313" s="5" t="s">
        <v>18</v>
      </c>
      <c r="E4313" s="5" t="s">
        <v>350</v>
      </c>
      <c r="F4313" s="9">
        <v>19</v>
      </c>
      <c r="G4313" s="9">
        <v>212</v>
      </c>
      <c r="H4313" s="5" t="s">
        <v>20</v>
      </c>
      <c r="I4313" s="5" t="s">
        <v>10301</v>
      </c>
      <c r="J4313" s="12" t="str">
        <f>HYPERLINK("https://www.boe.es/gazeta/dias/1804/03/06/pdfs/GMD-1804-19.pdf#page=12","Abrir facsímil")</f>
        <v>Abrir facsímil</v>
      </c>
      <c r="K4313" s="15" t="s">
        <v>22</v>
      </c>
    </row>
    <row r="4314" spans="1:11" ht="42" customHeight="1">
      <c r="A4314" s="4" t="s">
        <v>10302</v>
      </c>
      <c r="B4314" s="5" t="s">
        <v>10302</v>
      </c>
      <c r="C4314" s="5" t="s">
        <v>17</v>
      </c>
      <c r="D4314" s="5" t="s">
        <v>18</v>
      </c>
      <c r="E4314" s="5" t="s">
        <v>666</v>
      </c>
      <c r="F4314" s="9">
        <v>57</v>
      </c>
      <c r="G4314" s="9">
        <v>631</v>
      </c>
      <c r="H4314" s="5" t="s">
        <v>20</v>
      </c>
      <c r="I4314" s="5" t="s">
        <v>10303</v>
      </c>
      <c r="J4314" s="12" t="str">
        <f>HYPERLINK("https://www.boe.es/gazeta/dias/1804/07/17/pdfs/GMD-1804-57.pdf#page=9","Abrir facsímil")</f>
        <v>Abrir facsímil</v>
      </c>
      <c r="K4314" s="15" t="s">
        <v>22</v>
      </c>
    </row>
    <row r="4315" spans="1:11" ht="42" customHeight="1">
      <c r="A4315" s="4" t="s">
        <v>10304</v>
      </c>
      <c r="B4315" s="5" t="s">
        <v>10305</v>
      </c>
      <c r="C4315" s="5" t="s">
        <v>17</v>
      </c>
      <c r="D4315" s="5" t="s">
        <v>18</v>
      </c>
      <c r="E4315" s="5" t="s">
        <v>71</v>
      </c>
      <c r="F4315" s="9">
        <v>99</v>
      </c>
      <c r="G4315" s="9">
        <v>1107</v>
      </c>
      <c r="H4315" s="5" t="s">
        <v>20</v>
      </c>
      <c r="I4315" s="5" t="s">
        <v>10306</v>
      </c>
      <c r="J4315" s="12" t="str">
        <f>HYPERLINK("https://www.boe.es/gazeta/dias/1804/12/11/pdfs/GMD-1804-99.pdf#page=7","Abrir facsímil")</f>
        <v>Abrir facsímil</v>
      </c>
      <c r="K4315" s="15" t="s">
        <v>22</v>
      </c>
    </row>
    <row r="4316" spans="1:11" ht="42" customHeight="1">
      <c r="A4316" s="4" t="s">
        <v>10307</v>
      </c>
      <c r="B4316" s="5" t="s">
        <v>10308</v>
      </c>
      <c r="C4316" s="5" t="s">
        <v>198</v>
      </c>
      <c r="D4316" s="5" t="s">
        <v>66</v>
      </c>
      <c r="E4316" s="5" t="s">
        <v>111</v>
      </c>
      <c r="F4316" s="9">
        <v>40</v>
      </c>
      <c r="G4316" s="9">
        <v>449</v>
      </c>
      <c r="H4316" s="5" t="s">
        <v>20</v>
      </c>
      <c r="I4316" s="5" t="s">
        <v>10309</v>
      </c>
      <c r="J4316" s="12" t="str">
        <f>HYPERLINK("https://www.boe.es/gazeta/dias/1804/05/18/pdfs/GMD-1804-40.pdf#page=11","Abrir facsímil")</f>
        <v>Abrir facsímil</v>
      </c>
      <c r="K4316" s="15" t="s">
        <v>22</v>
      </c>
    </row>
    <row r="4317" spans="1:11" ht="42" customHeight="1">
      <c r="A4317" s="4" t="s">
        <v>10307</v>
      </c>
      <c r="B4317" s="5" t="s">
        <v>10308</v>
      </c>
      <c r="C4317" s="5" t="s">
        <v>198</v>
      </c>
      <c r="D4317" s="5" t="s">
        <v>66</v>
      </c>
      <c r="E4317" s="5" t="s">
        <v>378</v>
      </c>
      <c r="F4317" s="9">
        <v>65</v>
      </c>
      <c r="G4317" s="9">
        <v>732</v>
      </c>
      <c r="H4317" s="5" t="s">
        <v>20</v>
      </c>
      <c r="I4317" s="5" t="s">
        <v>10310</v>
      </c>
      <c r="J4317" s="12" t="str">
        <f>HYPERLINK("https://www.boe.es/gazeta/dias/1804/08/14/pdfs/GMD-1804-65.pdf#page=10","Abrir facsímil")</f>
        <v>Abrir facsímil</v>
      </c>
      <c r="K4317" s="15" t="s">
        <v>22</v>
      </c>
    </row>
    <row r="4318" spans="1:11" ht="42" customHeight="1">
      <c r="A4318" s="4" t="s">
        <v>10311</v>
      </c>
      <c r="B4318" s="5" t="s">
        <v>10312</v>
      </c>
      <c r="C4318" s="5" t="s">
        <v>262</v>
      </c>
      <c r="D4318" s="5" t="s">
        <v>263</v>
      </c>
      <c r="E4318" s="5" t="s">
        <v>398</v>
      </c>
      <c r="F4318" s="9">
        <v>22</v>
      </c>
      <c r="G4318" s="9">
        <v>250</v>
      </c>
      <c r="H4318" s="5" t="s">
        <v>20</v>
      </c>
      <c r="I4318" s="5" t="s">
        <v>10313</v>
      </c>
      <c r="J4318" s="12" t="str">
        <f>HYPERLINK("https://www.boe.es/gazeta/dias/1804/03/16/pdfs/GMD-C-1804-22.pdf#page=2","Abrir facsímil")</f>
        <v>Abrir facsímil</v>
      </c>
      <c r="K4318" s="15" t="s">
        <v>22</v>
      </c>
    </row>
    <row r="4319" spans="1:11" ht="42" customHeight="1">
      <c r="A4319" s="4" t="s">
        <v>10311</v>
      </c>
      <c r="B4319" s="5" t="s">
        <v>10312</v>
      </c>
      <c r="C4319" s="5" t="s">
        <v>262</v>
      </c>
      <c r="D4319" s="5" t="s">
        <v>263</v>
      </c>
      <c r="E4319" s="5" t="s">
        <v>666</v>
      </c>
      <c r="F4319" s="9">
        <v>57</v>
      </c>
      <c r="G4319" s="9">
        <v>636</v>
      </c>
      <c r="H4319" s="5" t="s">
        <v>20</v>
      </c>
      <c r="I4319" s="5" t="s">
        <v>10314</v>
      </c>
      <c r="J4319" s="12" t="str">
        <f>HYPERLINK("https://www.boe.es/gazeta/dias/1804/07/17/pdfs/GMD-C-1804-57.pdf#page=2","Abrir facsímil")</f>
        <v>Abrir facsímil</v>
      </c>
      <c r="K4319" s="15" t="s">
        <v>22</v>
      </c>
    </row>
    <row r="4320" spans="1:11" ht="42" customHeight="1">
      <c r="A4320" s="4" t="s">
        <v>10315</v>
      </c>
      <c r="B4320" s="5" t="s">
        <v>10316</v>
      </c>
      <c r="C4320" s="5" t="s">
        <v>120</v>
      </c>
      <c r="D4320" s="5" t="s">
        <v>121</v>
      </c>
      <c r="E4320" s="5" t="s">
        <v>33</v>
      </c>
      <c r="F4320" s="9">
        <v>48</v>
      </c>
      <c r="G4320" s="9" t="s">
        <v>122</v>
      </c>
      <c r="H4320" s="5" t="s">
        <v>20</v>
      </c>
      <c r="I4320" s="5" t="s">
        <v>10317</v>
      </c>
      <c r="J4320" s="12" t="str">
        <f>HYPERLINK("https://www.boe.es/gazeta/dias/1804/06/15/pdfs/GMD-C-1804-48.pdf#page=3","Abrir facsímil")</f>
        <v>Abrir facsímil</v>
      </c>
      <c r="K4320" s="15" t="s">
        <v>22</v>
      </c>
    </row>
    <row r="4321" spans="1:11" ht="42" customHeight="1">
      <c r="A4321" s="4" t="s">
        <v>10318</v>
      </c>
      <c r="B4321" s="5" t="s">
        <v>10318</v>
      </c>
      <c r="C4321" s="5" t="s">
        <v>27</v>
      </c>
      <c r="D4321" s="5" t="s">
        <v>28</v>
      </c>
      <c r="E4321" s="5" t="s">
        <v>794</v>
      </c>
      <c r="F4321" s="9">
        <v>42</v>
      </c>
      <c r="G4321" s="9">
        <v>467</v>
      </c>
      <c r="H4321" s="5" t="s">
        <v>20</v>
      </c>
      <c r="I4321" s="5" t="s">
        <v>10319</v>
      </c>
      <c r="J4321" s="12" t="str">
        <f>HYPERLINK("https://www.boe.es/gazeta/dias/1804/05/25/pdfs/GMD-1804-42.pdf#page=5","Abrir facsímil")</f>
        <v>Abrir facsímil</v>
      </c>
      <c r="K4321" s="15" t="s">
        <v>22</v>
      </c>
    </row>
    <row r="4322" spans="1:11" ht="42" customHeight="1">
      <c r="A4322" s="4" t="s">
        <v>10320</v>
      </c>
      <c r="B4322" s="5" t="s">
        <v>10320</v>
      </c>
      <c r="C4322" s="5" t="s">
        <v>198</v>
      </c>
      <c r="D4322" s="5" t="s">
        <v>66</v>
      </c>
      <c r="E4322" s="5" t="s">
        <v>222</v>
      </c>
      <c r="F4322" s="9">
        <v>4</v>
      </c>
      <c r="G4322" s="9">
        <v>37</v>
      </c>
      <c r="H4322" s="5" t="s">
        <v>20</v>
      </c>
      <c r="I4322" s="5" t="s">
        <v>10321</v>
      </c>
      <c r="J4322" s="12" t="str">
        <f>HYPERLINK("https://www.boe.es/gazeta/dias/1804/01/13/pdfs/GMD-1804-4.pdf#page=9","Abrir facsímil")</f>
        <v>Abrir facsímil</v>
      </c>
      <c r="K4322" s="15" t="s">
        <v>22</v>
      </c>
    </row>
    <row r="4323" spans="1:11" ht="42" customHeight="1">
      <c r="A4323" s="4" t="s">
        <v>10322</v>
      </c>
      <c r="B4323" s="5" t="s">
        <v>10323</v>
      </c>
      <c r="C4323" s="5" t="s">
        <v>17</v>
      </c>
      <c r="D4323" s="5" t="s">
        <v>18</v>
      </c>
      <c r="E4323" s="5" t="s">
        <v>1095</v>
      </c>
      <c r="F4323" s="9">
        <v>73</v>
      </c>
      <c r="G4323" s="9">
        <v>818</v>
      </c>
      <c r="H4323" s="5" t="s">
        <v>20</v>
      </c>
      <c r="I4323" s="5" t="s">
        <v>10324</v>
      </c>
      <c r="J4323" s="12" t="str">
        <f>HYPERLINK("https://www.boe.es/gazeta/dias/1804/09/11/pdfs/GMD-1804-73.pdf#page=8","Abrir facsímil")</f>
        <v>Abrir facsímil</v>
      </c>
      <c r="K4323" s="15" t="s">
        <v>22</v>
      </c>
    </row>
    <row r="4324" spans="1:11" ht="42" customHeight="1">
      <c r="A4324" s="4" t="s">
        <v>10325</v>
      </c>
      <c r="B4324" s="5" t="s">
        <v>10326</v>
      </c>
      <c r="C4324" s="5" t="s">
        <v>57</v>
      </c>
      <c r="D4324" s="5" t="s">
        <v>58</v>
      </c>
      <c r="E4324" s="5" t="s">
        <v>1095</v>
      </c>
      <c r="F4324" s="9">
        <v>73</v>
      </c>
      <c r="G4324" s="9">
        <v>817</v>
      </c>
      <c r="H4324" s="5" t="s">
        <v>20</v>
      </c>
      <c r="I4324" s="5" t="s">
        <v>10327</v>
      </c>
      <c r="J4324" s="12" t="str">
        <f>HYPERLINK("https://www.boe.es/gazeta/dias/1804/09/11/pdfs/GMD-1804-73.pdf#page=7","Abrir facsímil")</f>
        <v>Abrir facsímil</v>
      </c>
      <c r="K4324" s="15" t="s">
        <v>22</v>
      </c>
    </row>
    <row r="4325" spans="1:11" ht="42" customHeight="1">
      <c r="A4325" s="4" t="s">
        <v>10328</v>
      </c>
      <c r="B4325" s="5" t="s">
        <v>10329</v>
      </c>
      <c r="C4325" s="5" t="s">
        <v>27</v>
      </c>
      <c r="D4325" s="5" t="s">
        <v>28</v>
      </c>
      <c r="E4325" s="5" t="s">
        <v>587</v>
      </c>
      <c r="F4325" s="9">
        <v>62</v>
      </c>
      <c r="G4325" s="9">
        <v>688</v>
      </c>
      <c r="H4325" s="5" t="s">
        <v>20</v>
      </c>
      <c r="I4325" s="5" t="s">
        <v>10330</v>
      </c>
      <c r="J4325" s="12" t="str">
        <f>HYPERLINK("https://www.boe.es/gazeta/dias/1804/08/03/pdfs/GMD-1804-62.pdf#page=10","Abrir facsímil")</f>
        <v>Abrir facsímil</v>
      </c>
      <c r="K4325" s="15" t="s">
        <v>22</v>
      </c>
    </row>
    <row r="4326" spans="1:11" ht="42" customHeight="1">
      <c r="A4326" s="4" t="s">
        <v>10331</v>
      </c>
      <c r="B4326" s="5" t="s">
        <v>10331</v>
      </c>
      <c r="C4326" s="5" t="s">
        <v>57</v>
      </c>
      <c r="D4326" s="5" t="s">
        <v>58</v>
      </c>
      <c r="E4326" s="5" t="s">
        <v>41</v>
      </c>
      <c r="F4326" s="9">
        <v>24</v>
      </c>
      <c r="G4326" s="9">
        <v>267</v>
      </c>
      <c r="H4326" s="5" t="s">
        <v>20</v>
      </c>
      <c r="I4326" s="5" t="s">
        <v>10332</v>
      </c>
      <c r="J4326" s="12" t="str">
        <f>HYPERLINK("https://www.boe.es/gazeta/dias/1804/03/23/pdfs/GMD-1804-24.pdf#page=1","Abrir facsímil")</f>
        <v>Abrir facsímil</v>
      </c>
      <c r="K4326" s="15" t="s">
        <v>22</v>
      </c>
    </row>
    <row r="4327" spans="1:11" ht="42" customHeight="1">
      <c r="A4327" s="4" t="s">
        <v>10333</v>
      </c>
      <c r="B4327" s="5" t="s">
        <v>10334</v>
      </c>
      <c r="C4327" s="5" t="s">
        <v>27</v>
      </c>
      <c r="D4327" s="5" t="s">
        <v>28</v>
      </c>
      <c r="E4327" s="5" t="s">
        <v>264</v>
      </c>
      <c r="F4327" s="9">
        <v>49</v>
      </c>
      <c r="G4327" s="9" t="s">
        <v>10335</v>
      </c>
      <c r="H4327" s="5" t="s">
        <v>20</v>
      </c>
      <c r="I4327" s="5" t="s">
        <v>10336</v>
      </c>
      <c r="J4327" s="12" t="str">
        <f>HYPERLINK("https://www.boe.es/gazeta/dias/1804/06/19/pdfs/GMD-C-1804-49.pdf#page=7","Abrir facsímil")</f>
        <v>Abrir facsímil</v>
      </c>
      <c r="K4327" s="15" t="s">
        <v>22</v>
      </c>
    </row>
    <row r="4328" spans="1:11" ht="42" customHeight="1">
      <c r="A4328" s="4" t="s">
        <v>10337</v>
      </c>
      <c r="B4328" s="5" t="s">
        <v>10338</v>
      </c>
      <c r="C4328" s="5" t="s">
        <v>27</v>
      </c>
      <c r="D4328" s="5" t="s">
        <v>28</v>
      </c>
      <c r="E4328" s="5" t="s">
        <v>216</v>
      </c>
      <c r="F4328" s="9">
        <v>67</v>
      </c>
      <c r="G4328" s="9">
        <v>751</v>
      </c>
      <c r="H4328" s="5" t="s">
        <v>20</v>
      </c>
      <c r="I4328" s="5" t="s">
        <v>10339</v>
      </c>
      <c r="J4328" s="12" t="str">
        <f>HYPERLINK("https://www.boe.es/gazeta/dias/1804/08/21/pdfs/GMD-1804-67.pdf#page=9","Abrir facsímil")</f>
        <v>Abrir facsímil</v>
      </c>
      <c r="K4328" s="15" t="s">
        <v>22</v>
      </c>
    </row>
    <row r="4329" spans="1:11" ht="42" customHeight="1">
      <c r="A4329" s="4" t="s">
        <v>10340</v>
      </c>
      <c r="B4329" s="5" t="s">
        <v>10341</v>
      </c>
      <c r="C4329" s="5" t="s">
        <v>27</v>
      </c>
      <c r="D4329" s="5" t="s">
        <v>28</v>
      </c>
      <c r="E4329" s="5" t="s">
        <v>623</v>
      </c>
      <c r="F4329" s="9">
        <v>51</v>
      </c>
      <c r="G4329" s="9">
        <v>561</v>
      </c>
      <c r="H4329" s="5" t="s">
        <v>20</v>
      </c>
      <c r="I4329" s="5" t="s">
        <v>10342</v>
      </c>
      <c r="J4329" s="12" t="str">
        <f>HYPERLINK("https://www.boe.es/gazeta/dias/1804/06/26/pdfs/GMD-1804-51.pdf#page=7","Abrir facsímil")</f>
        <v>Abrir facsímil</v>
      </c>
      <c r="K4329" s="15" t="s">
        <v>22</v>
      </c>
    </row>
    <row r="4330" spans="1:11" ht="42" customHeight="1">
      <c r="A4330" s="4" t="s">
        <v>10343</v>
      </c>
      <c r="B4330" s="5" t="s">
        <v>10344</v>
      </c>
      <c r="C4330" s="5" t="s">
        <v>27</v>
      </c>
      <c r="D4330" s="5" t="s">
        <v>28</v>
      </c>
      <c r="E4330" s="5" t="s">
        <v>206</v>
      </c>
      <c r="F4330" s="9">
        <v>44</v>
      </c>
      <c r="G4330" s="9">
        <v>489</v>
      </c>
      <c r="H4330" s="5" t="s">
        <v>20</v>
      </c>
      <c r="I4330" s="5" t="s">
        <v>10345</v>
      </c>
      <c r="J4330" s="12" t="str">
        <f>HYPERLINK("https://www.boe.es/gazeta/dias/1804/06/01/pdfs/GMD-1804-44.pdf#page=7","Abrir facsímil")</f>
        <v>Abrir facsímil</v>
      </c>
      <c r="K4330" s="15" t="s">
        <v>22</v>
      </c>
    </row>
    <row r="4331" spans="1:11" ht="42" customHeight="1">
      <c r="A4331" s="4" t="s">
        <v>10346</v>
      </c>
      <c r="B4331" s="5" t="s">
        <v>10347</v>
      </c>
      <c r="C4331" s="5" t="s">
        <v>27</v>
      </c>
      <c r="D4331" s="5" t="s">
        <v>28</v>
      </c>
      <c r="E4331" s="5" t="s">
        <v>736</v>
      </c>
      <c r="F4331" s="9">
        <v>83</v>
      </c>
      <c r="G4331" s="9">
        <v>919</v>
      </c>
      <c r="H4331" s="5" t="s">
        <v>20</v>
      </c>
      <c r="I4331" s="5" t="s">
        <v>10348</v>
      </c>
      <c r="J4331" s="12" t="str">
        <f>HYPERLINK("https://www.boe.es/gazeta/dias/1804/10/16/pdfs/GMD-1804-83.pdf#page=9","Abrir facsímil")</f>
        <v>Abrir facsímil</v>
      </c>
      <c r="K4331" s="15" t="s">
        <v>22</v>
      </c>
    </row>
    <row r="4332" spans="1:11" ht="42" customHeight="1">
      <c r="A4332" s="4" t="s">
        <v>10346</v>
      </c>
      <c r="B4332" s="5" t="s">
        <v>10347</v>
      </c>
      <c r="C4332" s="5" t="s">
        <v>85</v>
      </c>
      <c r="D4332" s="5" t="s">
        <v>86</v>
      </c>
      <c r="E4332" s="5" t="s">
        <v>576</v>
      </c>
      <c r="F4332" s="9">
        <v>85</v>
      </c>
      <c r="G4332" s="9">
        <v>940</v>
      </c>
      <c r="H4332" s="5" t="s">
        <v>20</v>
      </c>
      <c r="I4332" s="5" t="s">
        <v>10349</v>
      </c>
      <c r="J4332" s="12" t="str">
        <f>HYPERLINK("https://www.boe.es/gazeta/dias/1804/10/23/pdfs/GMD-1804-85.pdf#page=10","Abrir facsímil")</f>
        <v>Abrir facsímil</v>
      </c>
      <c r="K4332" s="15" t="s">
        <v>22</v>
      </c>
    </row>
    <row r="4333" spans="1:11" ht="42" customHeight="1">
      <c r="A4333" s="4" t="s">
        <v>10350</v>
      </c>
      <c r="B4333" s="5" t="s">
        <v>10351</v>
      </c>
      <c r="C4333" s="5" t="s">
        <v>198</v>
      </c>
      <c r="D4333" s="5" t="s">
        <v>66</v>
      </c>
      <c r="E4333" s="5" t="s">
        <v>1337</v>
      </c>
      <c r="F4333" s="9">
        <v>7</v>
      </c>
      <c r="G4333" s="9">
        <v>68</v>
      </c>
      <c r="H4333" s="5" t="s">
        <v>20</v>
      </c>
      <c r="I4333" s="5" t="s">
        <v>10352</v>
      </c>
      <c r="J4333" s="12" t="str">
        <f>HYPERLINK("https://www.boe.es/gazeta/dias/1804/01/24/pdfs/GMD-1804-7.pdf#page=8","Abrir facsímil")</f>
        <v>Abrir facsímil</v>
      </c>
      <c r="K4333" s="15" t="s">
        <v>22</v>
      </c>
    </row>
    <row r="4334" spans="1:11" ht="42" customHeight="1">
      <c r="A4334" s="4" t="s">
        <v>10350</v>
      </c>
      <c r="B4334" s="5" t="s">
        <v>10351</v>
      </c>
      <c r="C4334" s="5" t="s">
        <v>27</v>
      </c>
      <c r="D4334" s="5" t="s">
        <v>28</v>
      </c>
      <c r="E4334" s="5" t="s">
        <v>251</v>
      </c>
      <c r="F4334" s="9">
        <v>79</v>
      </c>
      <c r="G4334" s="9">
        <v>876</v>
      </c>
      <c r="H4334" s="5" t="s">
        <v>20</v>
      </c>
      <c r="I4334" s="5" t="s">
        <v>10353</v>
      </c>
      <c r="J4334" s="12" t="str">
        <f>HYPERLINK("https://www.boe.es/gazeta/dias/1804/10/02/pdfs/GMD-1804-79.pdf#page=6","Abrir facsímil")</f>
        <v>Abrir facsímil</v>
      </c>
      <c r="K4334" s="15" t="s">
        <v>22</v>
      </c>
    </row>
    <row r="4335" spans="1:11" ht="42" customHeight="1">
      <c r="A4335" s="4" t="s">
        <v>10354</v>
      </c>
      <c r="B4335" s="5" t="s">
        <v>10355</v>
      </c>
      <c r="C4335" s="5" t="s">
        <v>65</v>
      </c>
      <c r="D4335" s="5" t="s">
        <v>66</v>
      </c>
      <c r="E4335" s="5" t="s">
        <v>109</v>
      </c>
      <c r="F4335" s="9">
        <v>35</v>
      </c>
      <c r="G4335" s="9">
        <v>385</v>
      </c>
      <c r="H4335" s="5" t="s">
        <v>20</v>
      </c>
      <c r="I4335" s="5" t="s">
        <v>10356</v>
      </c>
      <c r="J4335" s="12" t="str">
        <f>HYPERLINK("https://www.boe.es/gazeta/dias/1804/05/01/pdfs/GMD-1804-35.pdf#page=7","Abrir facsímil")</f>
        <v>Abrir facsímil</v>
      </c>
      <c r="K4335" s="15" t="s">
        <v>22</v>
      </c>
    </row>
    <row r="4336" spans="1:11" ht="42" customHeight="1">
      <c r="A4336" s="4" t="s">
        <v>10357</v>
      </c>
      <c r="B4336" s="5" t="s">
        <v>10358</v>
      </c>
      <c r="C4336" s="5" t="s">
        <v>27</v>
      </c>
      <c r="D4336" s="5" t="s">
        <v>28</v>
      </c>
      <c r="E4336" s="5" t="s">
        <v>388</v>
      </c>
      <c r="F4336" s="9">
        <v>18</v>
      </c>
      <c r="G4336" s="9">
        <v>198</v>
      </c>
      <c r="H4336" s="5" t="s">
        <v>20</v>
      </c>
      <c r="I4336" s="5" t="s">
        <v>10359</v>
      </c>
      <c r="J4336" s="12" t="str">
        <f>HYPERLINK("https://www.boe.es/gazeta/dias/1804/03/02/pdfs/GMD-1804-18.pdf#page=10","Abrir facsímil")</f>
        <v>Abrir facsímil</v>
      </c>
      <c r="K4336" s="15" t="s">
        <v>22</v>
      </c>
    </row>
    <row r="4337" spans="1:11" ht="42" customHeight="1">
      <c r="A4337" s="4" t="s">
        <v>10360</v>
      </c>
      <c r="B4337" s="5" t="s">
        <v>10361</v>
      </c>
      <c r="C4337" s="5" t="s">
        <v>27</v>
      </c>
      <c r="D4337" s="5" t="s">
        <v>28</v>
      </c>
      <c r="E4337" s="5" t="s">
        <v>354</v>
      </c>
      <c r="F4337" s="9">
        <v>1</v>
      </c>
      <c r="G4337" s="9">
        <v>5</v>
      </c>
      <c r="H4337" s="5" t="s">
        <v>20</v>
      </c>
      <c r="I4337" s="5" t="s">
        <v>10362</v>
      </c>
      <c r="J4337" s="12" t="str">
        <f>HYPERLINK("https://www.boe.es/gazeta/dias/1804/01/03/pdfs/GMD-1804-1.pdf#page=5","Abrir facsímil")</f>
        <v>Abrir facsímil</v>
      </c>
      <c r="K4337" s="15" t="s">
        <v>22</v>
      </c>
    </row>
    <row r="4338" spans="1:11" ht="42" customHeight="1">
      <c r="A4338" s="4" t="s">
        <v>10360</v>
      </c>
      <c r="B4338" s="5" t="s">
        <v>10361</v>
      </c>
      <c r="C4338" s="5" t="s">
        <v>17</v>
      </c>
      <c r="D4338" s="5" t="s">
        <v>18</v>
      </c>
      <c r="E4338" s="5" t="s">
        <v>339</v>
      </c>
      <c r="F4338" s="9">
        <v>94</v>
      </c>
      <c r="G4338" s="9">
        <v>1037</v>
      </c>
      <c r="H4338" s="5" t="s">
        <v>20</v>
      </c>
      <c r="I4338" s="5" t="s">
        <v>10363</v>
      </c>
      <c r="J4338" s="12" t="str">
        <f>HYPERLINK("https://www.boe.es/gazeta/dias/1804/11/23/pdfs/GMD-1804-94.pdf#page=5","Abrir facsímil")</f>
        <v>Abrir facsímil</v>
      </c>
      <c r="K4338" s="15" t="s">
        <v>22</v>
      </c>
    </row>
    <row r="4339" spans="1:11" ht="42" customHeight="1">
      <c r="A4339" s="4" t="s">
        <v>10360</v>
      </c>
      <c r="B4339" s="5" t="s">
        <v>10361</v>
      </c>
      <c r="C4339" s="5" t="s">
        <v>57</v>
      </c>
      <c r="D4339" s="5" t="s">
        <v>58</v>
      </c>
      <c r="E4339" s="5" t="s">
        <v>526</v>
      </c>
      <c r="F4339" s="9">
        <v>95</v>
      </c>
      <c r="G4339" s="9">
        <v>1053</v>
      </c>
      <c r="H4339" s="5" t="s">
        <v>20</v>
      </c>
      <c r="I4339" s="5" t="s">
        <v>10364</v>
      </c>
      <c r="J4339" s="12" t="str">
        <f>HYPERLINK("https://www.boe.es/gazeta/dias/1804/11/27/pdfs/GMD-1804-95.pdf#page=5","Abrir facsímil")</f>
        <v>Abrir facsímil</v>
      </c>
      <c r="K4339" s="15" t="s">
        <v>22</v>
      </c>
    </row>
    <row r="4340" spans="1:11" ht="42" customHeight="1">
      <c r="A4340" s="4" t="s">
        <v>10365</v>
      </c>
      <c r="B4340" s="5" t="s">
        <v>10366</v>
      </c>
      <c r="C4340" s="5" t="s">
        <v>65</v>
      </c>
      <c r="D4340" s="5" t="s">
        <v>66</v>
      </c>
      <c r="E4340" s="5" t="s">
        <v>43</v>
      </c>
      <c r="F4340" s="9">
        <v>84</v>
      </c>
      <c r="G4340" s="9">
        <v>927</v>
      </c>
      <c r="H4340" s="5" t="s">
        <v>20</v>
      </c>
      <c r="I4340" s="5" t="s">
        <v>10367</v>
      </c>
      <c r="J4340" s="12" t="str">
        <f>HYPERLINK("https://www.boe.es/gazeta/dias/1804/10/19/pdfs/GMD-1804-84.pdf#page=5","Abrir facsímil")</f>
        <v>Abrir facsímil</v>
      </c>
      <c r="K4340" s="15" t="s">
        <v>22</v>
      </c>
    </row>
    <row r="4341" spans="1:11" ht="42" customHeight="1">
      <c r="A4341" s="4" t="s">
        <v>10368</v>
      </c>
      <c r="B4341" s="5" t="s">
        <v>10369</v>
      </c>
      <c r="C4341" s="5" t="s">
        <v>17</v>
      </c>
      <c r="D4341" s="5" t="s">
        <v>18</v>
      </c>
      <c r="E4341" s="5" t="s">
        <v>547</v>
      </c>
      <c r="F4341" s="9">
        <v>68</v>
      </c>
      <c r="G4341" s="9">
        <v>764</v>
      </c>
      <c r="H4341" s="5" t="s">
        <v>20</v>
      </c>
      <c r="I4341" s="5" t="s">
        <v>10370</v>
      </c>
      <c r="J4341" s="12" t="str">
        <f>HYPERLINK("https://www.boe.es/gazeta/dias/1804/08/24/pdfs/GMD-1804-68.pdf#page=10","Abrir facsímil")</f>
        <v>Abrir facsímil</v>
      </c>
      <c r="K4341" s="15" t="s">
        <v>22</v>
      </c>
    </row>
    <row r="4342" spans="1:11" ht="42" customHeight="1">
      <c r="A4342" s="4" t="s">
        <v>10371</v>
      </c>
      <c r="B4342" s="5" t="s">
        <v>10372</v>
      </c>
      <c r="C4342" s="5" t="s">
        <v>27</v>
      </c>
      <c r="D4342" s="5" t="s">
        <v>28</v>
      </c>
      <c r="E4342" s="5" t="s">
        <v>81</v>
      </c>
      <c r="F4342" s="9">
        <v>98</v>
      </c>
      <c r="G4342" s="9">
        <v>1088</v>
      </c>
      <c r="H4342" s="5" t="s">
        <v>20</v>
      </c>
      <c r="I4342" s="5" t="s">
        <v>10373</v>
      </c>
      <c r="J4342" s="12" t="str">
        <f>HYPERLINK("https://www.boe.es/gazeta/dias/1804/12/07/pdfs/GMD-1804-98.pdf#page=4","Abrir facsímil")</f>
        <v>Abrir facsímil</v>
      </c>
      <c r="K4342" s="15" t="s">
        <v>22</v>
      </c>
    </row>
    <row r="4343" spans="1:11" ht="42" customHeight="1">
      <c r="A4343" s="4" t="s">
        <v>10374</v>
      </c>
      <c r="B4343" s="5" t="s">
        <v>10375</v>
      </c>
      <c r="C4343" s="5" t="s">
        <v>65</v>
      </c>
      <c r="D4343" s="5" t="s">
        <v>66</v>
      </c>
      <c r="E4343" s="5" t="s">
        <v>484</v>
      </c>
      <c r="F4343" s="9">
        <v>53</v>
      </c>
      <c r="G4343" s="9">
        <v>590</v>
      </c>
      <c r="H4343" s="5" t="s">
        <v>20</v>
      </c>
      <c r="I4343" s="5" t="s">
        <v>10376</v>
      </c>
      <c r="J4343" s="12" t="str">
        <f>HYPERLINK("https://www.boe.es/gazeta/dias/1804/07/03/pdfs/GMD-1804-53.pdf#page=8","Abrir facsímil")</f>
        <v>Abrir facsímil</v>
      </c>
      <c r="K4343" s="15" t="s">
        <v>22</v>
      </c>
    </row>
    <row r="4344" spans="1:11" ht="42" customHeight="1">
      <c r="A4344" s="4" t="s">
        <v>10377</v>
      </c>
      <c r="B4344" s="5" t="s">
        <v>10378</v>
      </c>
      <c r="C4344" s="5" t="s">
        <v>17</v>
      </c>
      <c r="D4344" s="5" t="s">
        <v>18</v>
      </c>
      <c r="E4344" s="5" t="s">
        <v>71</v>
      </c>
      <c r="F4344" s="9">
        <v>99</v>
      </c>
      <c r="G4344" s="9">
        <v>1107</v>
      </c>
      <c r="H4344" s="5" t="s">
        <v>20</v>
      </c>
      <c r="I4344" s="5" t="s">
        <v>10379</v>
      </c>
      <c r="J4344" s="12" t="str">
        <f>HYPERLINK("https://www.boe.es/gazeta/dias/1804/12/11/pdfs/GMD-1804-99.pdf#page=7","Abrir facsímil")</f>
        <v>Abrir facsímil</v>
      </c>
      <c r="K4344" s="15" t="s">
        <v>22</v>
      </c>
    </row>
    <row r="4345" spans="1:11" ht="42" customHeight="1">
      <c r="A4345" s="4" t="s">
        <v>10380</v>
      </c>
      <c r="B4345" s="5" t="s">
        <v>10381</v>
      </c>
      <c r="C4345" s="5" t="s">
        <v>85</v>
      </c>
      <c r="D4345" s="5" t="s">
        <v>86</v>
      </c>
      <c r="E4345" s="5" t="s">
        <v>258</v>
      </c>
      <c r="F4345" s="9">
        <v>14</v>
      </c>
      <c r="G4345" s="9">
        <v>155</v>
      </c>
      <c r="H4345" s="5" t="s">
        <v>20</v>
      </c>
      <c r="I4345" s="5" t="s">
        <v>10382</v>
      </c>
      <c r="J4345" s="12" t="str">
        <f>HYPERLINK("https://www.boe.es/gazeta/dias/1804/02/17/pdfs/GMD-1804-14.pdf#page=11","Abrir facsímil")</f>
        <v>Abrir facsímil</v>
      </c>
      <c r="K4345" s="15" t="s">
        <v>22</v>
      </c>
    </row>
    <row r="4346" spans="1:11" ht="42" customHeight="1">
      <c r="A4346" s="4" t="s">
        <v>10383</v>
      </c>
      <c r="B4346" s="5" t="s">
        <v>10383</v>
      </c>
      <c r="C4346" s="5" t="s">
        <v>57</v>
      </c>
      <c r="D4346" s="5" t="s">
        <v>58</v>
      </c>
      <c r="E4346" s="5" t="s">
        <v>103</v>
      </c>
      <c r="F4346" s="9">
        <v>11</v>
      </c>
      <c r="G4346" s="9">
        <v>116</v>
      </c>
      <c r="H4346" s="5" t="s">
        <v>20</v>
      </c>
      <c r="I4346" s="5" t="s">
        <v>10384</v>
      </c>
      <c r="J4346" s="12" t="str">
        <f>HYPERLINK("https://www.boe.es/gazeta/dias/1804/02/07/pdfs/GMD-1804-11.pdf#page=4","Abrir facsímil")</f>
        <v>Abrir facsímil</v>
      </c>
      <c r="K4346" s="15" t="s">
        <v>22</v>
      </c>
    </row>
    <row r="4347" spans="1:11" ht="42" customHeight="1">
      <c r="A4347" s="4" t="s">
        <v>10383</v>
      </c>
      <c r="B4347" s="5" t="s">
        <v>10383</v>
      </c>
      <c r="C4347" s="5" t="s">
        <v>57</v>
      </c>
      <c r="D4347" s="5" t="s">
        <v>58</v>
      </c>
      <c r="E4347" s="5" t="s">
        <v>77</v>
      </c>
      <c r="F4347" s="9">
        <v>32</v>
      </c>
      <c r="G4347" s="9">
        <v>350</v>
      </c>
      <c r="H4347" s="5" t="s">
        <v>20</v>
      </c>
      <c r="I4347" s="5" t="s">
        <v>10385</v>
      </c>
      <c r="J4347" s="12" t="str">
        <f>HYPERLINK("https://www.boe.es/gazeta/dias/1804/04/20/pdfs/GMD-1804-32.pdf#page=4","Abrir facsímil")</f>
        <v>Abrir facsímil</v>
      </c>
      <c r="K4347" s="15" t="s">
        <v>22</v>
      </c>
    </row>
    <row r="4348" spans="1:11" ht="42" customHeight="1">
      <c r="A4348" s="4" t="s">
        <v>10383</v>
      </c>
      <c r="B4348" s="5" t="s">
        <v>10383</v>
      </c>
      <c r="C4348" s="5" t="s">
        <v>198</v>
      </c>
      <c r="D4348" s="5" t="s">
        <v>66</v>
      </c>
      <c r="E4348" s="5" t="s">
        <v>172</v>
      </c>
      <c r="F4348" s="9">
        <v>38</v>
      </c>
      <c r="G4348" s="9">
        <v>417</v>
      </c>
      <c r="H4348" s="5" t="s">
        <v>20</v>
      </c>
      <c r="I4348" s="5" t="s">
        <v>10386</v>
      </c>
      <c r="J4348" s="12" t="str">
        <f>HYPERLINK("https://www.boe.es/gazeta/dias/1804/05/11/pdfs/GMD-1804-38.pdf#page=3","Abrir facsímil")</f>
        <v>Abrir facsímil</v>
      </c>
      <c r="K4348" s="15" t="s">
        <v>22</v>
      </c>
    </row>
    <row r="4349" spans="1:11" ht="42" customHeight="1">
      <c r="A4349" s="4" t="s">
        <v>10383</v>
      </c>
      <c r="B4349" s="5" t="s">
        <v>10383</v>
      </c>
      <c r="C4349" s="5" t="s">
        <v>57</v>
      </c>
      <c r="D4349" s="5" t="s">
        <v>58</v>
      </c>
      <c r="E4349" s="5" t="s">
        <v>172</v>
      </c>
      <c r="F4349" s="9">
        <v>38</v>
      </c>
      <c r="G4349" s="9">
        <v>419</v>
      </c>
      <c r="H4349" s="5" t="s">
        <v>20</v>
      </c>
      <c r="I4349" s="5" t="s">
        <v>10387</v>
      </c>
      <c r="J4349" s="12" t="str">
        <f>HYPERLINK("https://www.boe.es/gazeta/dias/1804/05/11/pdfs/GMD-1804-38.pdf#page=5","Abrir facsímil")</f>
        <v>Abrir facsímil</v>
      </c>
      <c r="K4349" s="15" t="s">
        <v>22</v>
      </c>
    </row>
    <row r="4350" spans="1:11" ht="42" customHeight="1">
      <c r="A4350" s="4" t="s">
        <v>10383</v>
      </c>
      <c r="B4350" s="5" t="s">
        <v>10383</v>
      </c>
      <c r="C4350" s="5" t="s">
        <v>57</v>
      </c>
      <c r="D4350" s="5" t="s">
        <v>58</v>
      </c>
      <c r="E4350" s="5" t="s">
        <v>199</v>
      </c>
      <c r="F4350" s="9">
        <v>46</v>
      </c>
      <c r="G4350" s="9">
        <v>508</v>
      </c>
      <c r="H4350" s="5" t="s">
        <v>20</v>
      </c>
      <c r="I4350" s="5" t="s">
        <v>10388</v>
      </c>
      <c r="J4350" s="12" t="str">
        <f>HYPERLINK("https://www.boe.es/gazeta/dias/1804/06/08/pdfs/GMD-1804-46.pdf#page=6","Abrir facsímil")</f>
        <v>Abrir facsímil</v>
      </c>
      <c r="K4350" s="15" t="s">
        <v>22</v>
      </c>
    </row>
    <row r="4351" spans="1:11" ht="42" customHeight="1">
      <c r="A4351" s="4" t="s">
        <v>10383</v>
      </c>
      <c r="B4351" s="5" t="s">
        <v>10383</v>
      </c>
      <c r="C4351" s="5" t="s">
        <v>57</v>
      </c>
      <c r="D4351" s="5" t="s">
        <v>58</v>
      </c>
      <c r="E4351" s="5" t="s">
        <v>199</v>
      </c>
      <c r="F4351" s="9">
        <v>46</v>
      </c>
      <c r="G4351" s="9">
        <v>509</v>
      </c>
      <c r="H4351" s="5" t="s">
        <v>20</v>
      </c>
      <c r="I4351" s="5" t="s">
        <v>10389</v>
      </c>
      <c r="J4351" s="12" t="str">
        <f>HYPERLINK("https://www.boe.es/gazeta/dias/1804/06/08/pdfs/GMD-1804-46.pdf#page=7","Abrir facsímil")</f>
        <v>Abrir facsímil</v>
      </c>
      <c r="K4351" s="15" t="s">
        <v>22</v>
      </c>
    </row>
    <row r="4352" spans="1:11" ht="42" customHeight="1">
      <c r="A4352" s="4" t="s">
        <v>10383</v>
      </c>
      <c r="B4352" s="5" t="s">
        <v>10383</v>
      </c>
      <c r="C4352" s="5" t="s">
        <v>17</v>
      </c>
      <c r="D4352" s="5" t="s">
        <v>18</v>
      </c>
      <c r="E4352" s="5" t="s">
        <v>421</v>
      </c>
      <c r="F4352" s="9">
        <v>47</v>
      </c>
      <c r="G4352" s="9">
        <v>523</v>
      </c>
      <c r="H4352" s="5" t="s">
        <v>20</v>
      </c>
      <c r="I4352" s="5" t="s">
        <v>10390</v>
      </c>
      <c r="J4352" s="12" t="str">
        <f>HYPERLINK("https://www.boe.es/gazeta/dias/1804/06/12/pdfs/GMD-1804-47.pdf#page=5","Abrir facsímil")</f>
        <v>Abrir facsímil</v>
      </c>
      <c r="K4352" s="15" t="s">
        <v>22</v>
      </c>
    </row>
    <row r="4353" spans="1:11" ht="42" customHeight="1">
      <c r="A4353" s="4" t="s">
        <v>10383</v>
      </c>
      <c r="B4353" s="5" t="s">
        <v>10383</v>
      </c>
      <c r="C4353" s="5" t="s">
        <v>17</v>
      </c>
      <c r="D4353" s="5" t="s">
        <v>18</v>
      </c>
      <c r="E4353" s="5" t="s">
        <v>421</v>
      </c>
      <c r="F4353" s="9">
        <v>47</v>
      </c>
      <c r="G4353" s="9">
        <v>524</v>
      </c>
      <c r="H4353" s="5" t="s">
        <v>20</v>
      </c>
      <c r="I4353" s="5" t="s">
        <v>10391</v>
      </c>
      <c r="J4353" s="12" t="str">
        <f>HYPERLINK("https://www.boe.es/gazeta/dias/1804/06/12/pdfs/GMD-1804-47.pdf#page=6","Abrir facsímil")</f>
        <v>Abrir facsímil</v>
      </c>
      <c r="K4353" s="15" t="s">
        <v>22</v>
      </c>
    </row>
    <row r="4354" spans="1:11" ht="42" customHeight="1">
      <c r="A4354" s="4" t="s">
        <v>10383</v>
      </c>
      <c r="B4354" s="5" t="s">
        <v>10383</v>
      </c>
      <c r="C4354" s="5" t="s">
        <v>17</v>
      </c>
      <c r="D4354" s="5" t="s">
        <v>18</v>
      </c>
      <c r="E4354" s="5" t="s">
        <v>421</v>
      </c>
      <c r="F4354" s="9">
        <v>47</v>
      </c>
      <c r="G4354" s="9">
        <v>526</v>
      </c>
      <c r="H4354" s="5" t="s">
        <v>20</v>
      </c>
      <c r="I4354" s="5" t="s">
        <v>10392</v>
      </c>
      <c r="J4354" s="12" t="str">
        <f>HYPERLINK("https://www.boe.es/gazeta/dias/1804/06/12/pdfs/GMD-1804-47.pdf#page=8","Abrir facsímil")</f>
        <v>Abrir facsímil</v>
      </c>
      <c r="K4354" s="15" t="s">
        <v>22</v>
      </c>
    </row>
    <row r="4355" spans="1:11" ht="42" customHeight="1">
      <c r="A4355" s="4" t="s">
        <v>10383</v>
      </c>
      <c r="B4355" s="5" t="s">
        <v>10383</v>
      </c>
      <c r="C4355" s="5" t="s">
        <v>27</v>
      </c>
      <c r="D4355" s="5" t="s">
        <v>28</v>
      </c>
      <c r="E4355" s="5" t="s">
        <v>264</v>
      </c>
      <c r="F4355" s="9">
        <v>49</v>
      </c>
      <c r="G4355" s="9">
        <v>542</v>
      </c>
      <c r="H4355" s="5" t="s">
        <v>20</v>
      </c>
      <c r="I4355" s="5" t="s">
        <v>10393</v>
      </c>
      <c r="J4355" s="12" t="str">
        <f>HYPERLINK("https://www.boe.es/gazeta/dias/1804/06/19/pdfs/GMD-1804-49.pdf#page=4","Abrir facsímil")</f>
        <v>Abrir facsímil</v>
      </c>
      <c r="K4355" s="15" t="s">
        <v>22</v>
      </c>
    </row>
    <row r="4356" spans="1:11" ht="42" customHeight="1">
      <c r="A4356" s="4" t="s">
        <v>10383</v>
      </c>
      <c r="B4356" s="5" t="s">
        <v>10383</v>
      </c>
      <c r="C4356" s="5" t="s">
        <v>27</v>
      </c>
      <c r="D4356" s="5" t="s">
        <v>28</v>
      </c>
      <c r="E4356" s="5" t="s">
        <v>97</v>
      </c>
      <c r="F4356" s="9">
        <v>50</v>
      </c>
      <c r="G4356" s="9">
        <v>550</v>
      </c>
      <c r="H4356" s="5" t="s">
        <v>20</v>
      </c>
      <c r="I4356" s="5" t="s">
        <v>10394</v>
      </c>
      <c r="J4356" s="12" t="str">
        <f>HYPERLINK("https://www.boe.es/gazeta/dias/1804/06/22/pdfs/GMD-1804-50.pdf#page=4","Abrir facsímil")</f>
        <v>Abrir facsímil</v>
      </c>
      <c r="K4356" s="15" t="s">
        <v>22</v>
      </c>
    </row>
    <row r="4357" spans="1:11" ht="42" customHeight="1">
      <c r="A4357" s="4" t="s">
        <v>10383</v>
      </c>
      <c r="B4357" s="5" t="s">
        <v>10383</v>
      </c>
      <c r="C4357" s="5" t="s">
        <v>57</v>
      </c>
      <c r="D4357" s="5" t="s">
        <v>58</v>
      </c>
      <c r="E4357" s="5" t="s">
        <v>97</v>
      </c>
      <c r="F4357" s="9">
        <v>50</v>
      </c>
      <c r="G4357" s="9">
        <v>551</v>
      </c>
      <c r="H4357" s="5" t="s">
        <v>20</v>
      </c>
      <c r="I4357" s="5" t="s">
        <v>10395</v>
      </c>
      <c r="J4357" s="12" t="str">
        <f>HYPERLINK("https://www.boe.es/gazeta/dias/1804/06/22/pdfs/GMD-1804-50.pdf#page=5","Abrir facsímil")</f>
        <v>Abrir facsímil</v>
      </c>
      <c r="K4357" s="15" t="s">
        <v>22</v>
      </c>
    </row>
    <row r="4358" spans="1:11" ht="42" customHeight="1">
      <c r="A4358" s="4" t="s">
        <v>10383</v>
      </c>
      <c r="B4358" s="5" t="s">
        <v>10383</v>
      </c>
      <c r="C4358" s="5" t="s">
        <v>57</v>
      </c>
      <c r="D4358" s="5" t="s">
        <v>58</v>
      </c>
      <c r="E4358" s="5" t="s">
        <v>542</v>
      </c>
      <c r="F4358" s="9">
        <v>54</v>
      </c>
      <c r="G4358" s="9">
        <v>597</v>
      </c>
      <c r="H4358" s="5" t="s">
        <v>20</v>
      </c>
      <c r="I4358" s="5" t="s">
        <v>10396</v>
      </c>
      <c r="J4358" s="12" t="str">
        <f>HYPERLINK("https://www.boe.es/gazeta/dias/1804/07/06/pdfs/GMD-1804-54.pdf#page=3","Abrir facsímil")</f>
        <v>Abrir facsímil</v>
      </c>
      <c r="K4358" s="15" t="s">
        <v>22</v>
      </c>
    </row>
    <row r="4359" spans="1:11" ht="42" customHeight="1">
      <c r="A4359" s="4" t="s">
        <v>10383</v>
      </c>
      <c r="B4359" s="5" t="s">
        <v>10383</v>
      </c>
      <c r="C4359" s="5" t="s">
        <v>57</v>
      </c>
      <c r="D4359" s="5" t="s">
        <v>58</v>
      </c>
      <c r="E4359" s="5" t="s">
        <v>59</v>
      </c>
      <c r="F4359" s="9">
        <v>55</v>
      </c>
      <c r="G4359" s="9">
        <v>604</v>
      </c>
      <c r="H4359" s="5" t="s">
        <v>20</v>
      </c>
      <c r="I4359" s="5" t="s">
        <v>10397</v>
      </c>
      <c r="J4359" s="12" t="str">
        <f>HYPERLINK("https://www.boe.es/gazeta/dias/1804/07/10/pdfs/GMD-1804-55.pdf#page=2","Abrir facsímil")</f>
        <v>Abrir facsímil</v>
      </c>
      <c r="K4359" s="15" t="s">
        <v>22</v>
      </c>
    </row>
    <row r="4360" spans="1:11" ht="42" customHeight="1">
      <c r="A4360" s="4" t="s">
        <v>10383</v>
      </c>
      <c r="B4360" s="5" t="s">
        <v>10383</v>
      </c>
      <c r="C4360" s="5" t="s">
        <v>57</v>
      </c>
      <c r="D4360" s="5" t="s">
        <v>58</v>
      </c>
      <c r="E4360" s="5" t="s">
        <v>54</v>
      </c>
      <c r="F4360" s="9">
        <v>63</v>
      </c>
      <c r="G4360" s="9">
        <v>695</v>
      </c>
      <c r="H4360" s="5" t="s">
        <v>20</v>
      </c>
      <c r="I4360" s="5" t="s">
        <v>10398</v>
      </c>
      <c r="J4360" s="12" t="str">
        <f>HYPERLINK("https://www.boe.es/gazeta/dias/1804/08/07/pdfs/GMD-1804-63.pdf#page=5","Abrir facsímil")</f>
        <v>Abrir facsímil</v>
      </c>
      <c r="K4360" s="15" t="s">
        <v>22</v>
      </c>
    </row>
    <row r="4361" spans="1:11" ht="42" customHeight="1">
      <c r="A4361" s="4" t="s">
        <v>10383</v>
      </c>
      <c r="B4361" s="5" t="s">
        <v>10383</v>
      </c>
      <c r="C4361" s="5" t="s">
        <v>57</v>
      </c>
      <c r="D4361" s="5" t="s">
        <v>58</v>
      </c>
      <c r="E4361" s="5" t="s">
        <v>54</v>
      </c>
      <c r="F4361" s="9">
        <v>63</v>
      </c>
      <c r="G4361" s="9">
        <v>696</v>
      </c>
      <c r="H4361" s="5" t="s">
        <v>20</v>
      </c>
      <c r="I4361" s="5" t="s">
        <v>10399</v>
      </c>
      <c r="J4361" s="12" t="str">
        <f>HYPERLINK("https://www.boe.es/gazeta/dias/1804/08/07/pdfs/GMD-1804-63.pdf#page=6","Abrir facsímil")</f>
        <v>Abrir facsímil</v>
      </c>
      <c r="K4361" s="15" t="s">
        <v>22</v>
      </c>
    </row>
    <row r="4362" spans="1:11" ht="42" customHeight="1">
      <c r="A4362" s="4" t="s">
        <v>10383</v>
      </c>
      <c r="B4362" s="5" t="s">
        <v>10383</v>
      </c>
      <c r="C4362" s="5" t="s">
        <v>27</v>
      </c>
      <c r="D4362" s="5" t="s">
        <v>28</v>
      </c>
      <c r="E4362" s="5" t="s">
        <v>378</v>
      </c>
      <c r="F4362" s="9">
        <v>65</v>
      </c>
      <c r="G4362" s="9">
        <v>725</v>
      </c>
      <c r="H4362" s="5" t="s">
        <v>20</v>
      </c>
      <c r="I4362" s="5" t="s">
        <v>10400</v>
      </c>
      <c r="J4362" s="12" t="str">
        <f>HYPERLINK("https://www.boe.es/gazeta/dias/1804/08/14/pdfs/GMD-1804-65.pdf#page=3","Abrir facsímil")</f>
        <v>Abrir facsímil</v>
      </c>
      <c r="K4362" s="15" t="s">
        <v>22</v>
      </c>
    </row>
    <row r="4363" spans="1:11" ht="42" customHeight="1">
      <c r="A4363" s="4" t="s">
        <v>10383</v>
      </c>
      <c r="B4363" s="5" t="s">
        <v>10383</v>
      </c>
      <c r="C4363" s="5" t="s">
        <v>57</v>
      </c>
      <c r="D4363" s="5" t="s">
        <v>58</v>
      </c>
      <c r="E4363" s="5" t="s">
        <v>782</v>
      </c>
      <c r="F4363" s="9">
        <v>75</v>
      </c>
      <c r="G4363" s="9">
        <v>839</v>
      </c>
      <c r="H4363" s="5" t="s">
        <v>20</v>
      </c>
      <c r="I4363" s="5" t="s">
        <v>10401</v>
      </c>
      <c r="J4363" s="12" t="str">
        <f>HYPERLINK("https://www.boe.es/gazeta/dias/1804/09/18/pdfs/GMD-1804-75.pdf#page=5","Abrir facsímil")</f>
        <v>Abrir facsímil</v>
      </c>
      <c r="K4363" s="15" t="s">
        <v>22</v>
      </c>
    </row>
    <row r="4364" spans="1:11" ht="42" customHeight="1">
      <c r="A4364" s="4" t="s">
        <v>10383</v>
      </c>
      <c r="B4364" s="5" t="s">
        <v>10383</v>
      </c>
      <c r="C4364" s="5" t="s">
        <v>57</v>
      </c>
      <c r="D4364" s="5" t="s">
        <v>58</v>
      </c>
      <c r="E4364" s="5" t="s">
        <v>576</v>
      </c>
      <c r="F4364" s="9">
        <v>85</v>
      </c>
      <c r="G4364" s="9">
        <v>936</v>
      </c>
      <c r="H4364" s="5" t="s">
        <v>20</v>
      </c>
      <c r="I4364" s="5" t="s">
        <v>10402</v>
      </c>
      <c r="J4364" s="12" t="str">
        <f>HYPERLINK("https://www.boe.es/gazeta/dias/1804/10/23/pdfs/GMD-1804-85.pdf#page=6","Abrir facsímil")</f>
        <v>Abrir facsímil</v>
      </c>
      <c r="K4364" s="15" t="s">
        <v>22</v>
      </c>
    </row>
    <row r="4365" spans="1:11" ht="42" customHeight="1">
      <c r="A4365" s="4" t="s">
        <v>10383</v>
      </c>
      <c r="B4365" s="5" t="s">
        <v>10383</v>
      </c>
      <c r="C4365" s="5" t="s">
        <v>27</v>
      </c>
      <c r="D4365" s="5" t="s">
        <v>28</v>
      </c>
      <c r="E4365" s="5" t="s">
        <v>234</v>
      </c>
      <c r="F4365" s="9">
        <v>86</v>
      </c>
      <c r="G4365" s="9">
        <v>944</v>
      </c>
      <c r="H4365" s="5" t="s">
        <v>20</v>
      </c>
      <c r="I4365" s="5" t="s">
        <v>10403</v>
      </c>
      <c r="J4365" s="12" t="str">
        <f>HYPERLINK("https://www.boe.es/gazeta/dias/1804/10/26/pdfs/GMD-1804-86.pdf#page=2","Abrir facsímil")</f>
        <v>Abrir facsímil</v>
      </c>
      <c r="K4365" s="15" t="s">
        <v>22</v>
      </c>
    </row>
    <row r="4366" spans="1:11" ht="42" customHeight="1">
      <c r="A4366" s="4" t="s">
        <v>10404</v>
      </c>
      <c r="B4366" s="5" t="s">
        <v>10405</v>
      </c>
      <c r="C4366" s="5" t="s">
        <v>27</v>
      </c>
      <c r="D4366" s="5" t="s">
        <v>28</v>
      </c>
      <c r="E4366" s="5" t="s">
        <v>182</v>
      </c>
      <c r="F4366" s="9">
        <v>21</v>
      </c>
      <c r="G4366" s="9">
        <v>234</v>
      </c>
      <c r="H4366" s="5" t="s">
        <v>20</v>
      </c>
      <c r="I4366" s="5" t="s">
        <v>10406</v>
      </c>
      <c r="J4366" s="12" t="str">
        <f>HYPERLINK("https://www.boe.es/gazeta/dias/1804/03/13/pdfs/GMD-1804-21.pdf#page=10","Abrir facsímil")</f>
        <v>Abrir facsímil</v>
      </c>
      <c r="K4366" s="15" t="s">
        <v>22</v>
      </c>
    </row>
    <row r="4367" spans="1:11" ht="42" customHeight="1">
      <c r="A4367" s="4" t="s">
        <v>10407</v>
      </c>
      <c r="B4367" s="5" t="s">
        <v>10407</v>
      </c>
      <c r="C4367" s="5" t="s">
        <v>27</v>
      </c>
      <c r="D4367" s="5" t="s">
        <v>28</v>
      </c>
      <c r="E4367" s="5" t="s">
        <v>143</v>
      </c>
      <c r="F4367" s="9">
        <v>87</v>
      </c>
      <c r="G4367" s="9">
        <v>963</v>
      </c>
      <c r="H4367" s="5" t="s">
        <v>20</v>
      </c>
      <c r="I4367" s="5" t="s">
        <v>10408</v>
      </c>
      <c r="J4367" s="12" t="str">
        <f>HYPERLINK("https://www.boe.es/gazeta/dias/1804/10/30/pdfs/GMD-1804-87.pdf#page=7","Abrir facsímil")</f>
        <v>Abrir facsímil</v>
      </c>
      <c r="K4367" s="15" t="s">
        <v>22</v>
      </c>
    </row>
    <row r="4368" spans="1:11" ht="42" customHeight="1">
      <c r="A4368" s="4" t="s">
        <v>10409</v>
      </c>
      <c r="B4368" s="5" t="s">
        <v>10409</v>
      </c>
      <c r="C4368" s="5" t="s">
        <v>27</v>
      </c>
      <c r="D4368" s="5" t="s">
        <v>28</v>
      </c>
      <c r="E4368" s="5" t="s">
        <v>67</v>
      </c>
      <c r="F4368" s="9">
        <v>59</v>
      </c>
      <c r="G4368" s="9">
        <v>652</v>
      </c>
      <c r="H4368" s="5" t="s">
        <v>20</v>
      </c>
      <c r="I4368" s="5" t="s">
        <v>10410</v>
      </c>
      <c r="J4368" s="12" t="str">
        <f>HYPERLINK("https://www.boe.es/gazeta/dias/1804/07/24/pdfs/GMD-1804-59.pdf#page=6","Abrir facsímil")</f>
        <v>Abrir facsímil</v>
      </c>
      <c r="K4368" s="15" t="s">
        <v>22</v>
      </c>
    </row>
    <row r="4369" spans="1:11" ht="42" customHeight="1">
      <c r="A4369" s="4" t="s">
        <v>10411</v>
      </c>
      <c r="B4369" s="5" t="s">
        <v>10412</v>
      </c>
      <c r="C4369" s="5" t="s">
        <v>27</v>
      </c>
      <c r="D4369" s="5" t="s">
        <v>28</v>
      </c>
      <c r="E4369" s="5" t="s">
        <v>159</v>
      </c>
      <c r="F4369" s="9">
        <v>15</v>
      </c>
      <c r="G4369" s="9">
        <v>163</v>
      </c>
      <c r="H4369" s="5" t="s">
        <v>20</v>
      </c>
      <c r="I4369" s="5" t="s">
        <v>10413</v>
      </c>
      <c r="J4369" s="12" t="str">
        <f>HYPERLINK("https://www.boe.es/gazeta/dias/1804/02/21/pdfs/GMD-1804-15.pdf#page=7","Abrir facsímil")</f>
        <v>Abrir facsímil</v>
      </c>
      <c r="K4369" s="15" t="s">
        <v>22</v>
      </c>
    </row>
    <row r="4370" spans="1:11" ht="42" customHeight="1">
      <c r="A4370" s="4" t="s">
        <v>10414</v>
      </c>
      <c r="B4370" s="5" t="s">
        <v>10415</v>
      </c>
      <c r="C4370" s="5" t="s">
        <v>27</v>
      </c>
      <c r="D4370" s="5" t="s">
        <v>28</v>
      </c>
      <c r="E4370" s="5" t="s">
        <v>182</v>
      </c>
      <c r="F4370" s="9">
        <v>21</v>
      </c>
      <c r="G4370" s="9">
        <v>234</v>
      </c>
      <c r="H4370" s="5" t="s">
        <v>20</v>
      </c>
      <c r="I4370" s="5" t="s">
        <v>10416</v>
      </c>
      <c r="J4370" s="12" t="str">
        <f>HYPERLINK("https://www.boe.es/gazeta/dias/1804/03/13/pdfs/GMD-1804-21.pdf#page=10","Abrir facsímil")</f>
        <v>Abrir facsímil</v>
      </c>
      <c r="K4370" s="15" t="s">
        <v>22</v>
      </c>
    </row>
    <row r="4371" spans="1:11" ht="42" customHeight="1">
      <c r="A4371" s="4" t="s">
        <v>10417</v>
      </c>
      <c r="B4371" s="5" t="s">
        <v>10418</v>
      </c>
      <c r="C4371" s="5" t="s">
        <v>27</v>
      </c>
      <c r="D4371" s="5" t="s">
        <v>28</v>
      </c>
      <c r="E4371" s="5" t="s">
        <v>576</v>
      </c>
      <c r="F4371" s="9">
        <v>85</v>
      </c>
      <c r="G4371" s="9">
        <v>940</v>
      </c>
      <c r="H4371" s="5" t="s">
        <v>20</v>
      </c>
      <c r="I4371" s="5" t="s">
        <v>10419</v>
      </c>
      <c r="J4371" s="12" t="str">
        <f>HYPERLINK("https://www.boe.es/gazeta/dias/1804/10/23/pdfs/GMD-1804-85.pdf#page=10","Abrir facsímil")</f>
        <v>Abrir facsímil</v>
      </c>
      <c r="K4371" s="15" t="s">
        <v>22</v>
      </c>
    </row>
    <row r="4372" spans="1:11" ht="42" customHeight="1">
      <c r="A4372" s="4" t="s">
        <v>10420</v>
      </c>
      <c r="B4372" s="5" t="s">
        <v>10421</v>
      </c>
      <c r="C4372" s="5" t="s">
        <v>57</v>
      </c>
      <c r="D4372" s="5" t="s">
        <v>58</v>
      </c>
      <c r="E4372" s="5" t="s">
        <v>670</v>
      </c>
      <c r="F4372" s="9">
        <v>41</v>
      </c>
      <c r="G4372" s="9">
        <v>452</v>
      </c>
      <c r="H4372" s="5" t="s">
        <v>20</v>
      </c>
      <c r="I4372" s="5" t="s">
        <v>10422</v>
      </c>
      <c r="J4372" s="12" t="str">
        <f>HYPERLINK("https://www.boe.es/gazeta/dias/1804/05/22/pdfs/GMD-1804-41.pdf#page=2","Abrir facsímil")</f>
        <v>Abrir facsímil</v>
      </c>
      <c r="K4372" s="15" t="s">
        <v>22</v>
      </c>
    </row>
    <row r="4373" spans="1:11" ht="42" customHeight="1">
      <c r="A4373" s="4" t="s">
        <v>10423</v>
      </c>
      <c r="B4373" s="5" t="s">
        <v>10424</v>
      </c>
      <c r="C4373" s="5" t="s">
        <v>27</v>
      </c>
      <c r="D4373" s="5" t="s">
        <v>28</v>
      </c>
      <c r="E4373" s="5" t="s">
        <v>709</v>
      </c>
      <c r="F4373" s="9">
        <v>82</v>
      </c>
      <c r="G4373" s="9">
        <v>907</v>
      </c>
      <c r="H4373" s="5" t="s">
        <v>20</v>
      </c>
      <c r="I4373" s="5" t="s">
        <v>10425</v>
      </c>
      <c r="J4373" s="12" t="str">
        <f>HYPERLINK("https://www.boe.es/gazeta/dias/1804/10/12/pdfs/GMD-1804-82.pdf#page=9","Abrir facsímil")</f>
        <v>Abrir facsímil</v>
      </c>
      <c r="K4373" s="15" t="s">
        <v>22</v>
      </c>
    </row>
    <row r="4374" spans="1:11" ht="42" customHeight="1">
      <c r="A4374" s="4" t="s">
        <v>10426</v>
      </c>
      <c r="B4374" s="5" t="s">
        <v>10426</v>
      </c>
      <c r="C4374" s="5" t="s">
        <v>65</v>
      </c>
      <c r="D4374" s="5" t="s">
        <v>66</v>
      </c>
      <c r="E4374" s="5" t="s">
        <v>151</v>
      </c>
      <c r="F4374" s="9">
        <v>13</v>
      </c>
      <c r="G4374" s="9">
        <v>142</v>
      </c>
      <c r="H4374" s="5" t="s">
        <v>20</v>
      </c>
      <c r="I4374" s="5" t="s">
        <v>10427</v>
      </c>
      <c r="J4374" s="12" t="str">
        <f>HYPERLINK("https://www.boe.es/gazeta/dias/1804/02/14/pdfs/GMD-1804-13.pdf#page=6","Abrir facsímil")</f>
        <v>Abrir facsímil</v>
      </c>
      <c r="K4374" s="15" t="s">
        <v>22</v>
      </c>
    </row>
    <row r="4375" spans="1:11" ht="42" customHeight="1">
      <c r="A4375" s="4" t="s">
        <v>10428</v>
      </c>
      <c r="B4375" s="5" t="s">
        <v>10428</v>
      </c>
      <c r="C4375" s="5" t="s">
        <v>17</v>
      </c>
      <c r="D4375" s="5" t="s">
        <v>18</v>
      </c>
      <c r="E4375" s="5" t="s">
        <v>1179</v>
      </c>
      <c r="F4375" s="9">
        <v>43</v>
      </c>
      <c r="G4375" s="9">
        <v>480</v>
      </c>
      <c r="H4375" s="5" t="s">
        <v>20</v>
      </c>
      <c r="I4375" s="5" t="s">
        <v>10429</v>
      </c>
      <c r="J4375" s="12" t="str">
        <f>HYPERLINK("https://www.boe.es/gazeta/dias/1804/05/29/pdfs/GMD-1804-43.pdf#page=6","Abrir facsímil")</f>
        <v>Abrir facsímil</v>
      </c>
      <c r="K4375" s="15" t="s">
        <v>22</v>
      </c>
    </row>
    <row r="4376" spans="1:11" ht="42" customHeight="1">
      <c r="A4376" s="4" t="s">
        <v>10430</v>
      </c>
      <c r="B4376" s="5" t="s">
        <v>10431</v>
      </c>
      <c r="C4376" s="5" t="s">
        <v>17</v>
      </c>
      <c r="D4376" s="5" t="s">
        <v>18</v>
      </c>
      <c r="E4376" s="5" t="s">
        <v>71</v>
      </c>
      <c r="F4376" s="9">
        <v>99</v>
      </c>
      <c r="G4376" s="9">
        <v>1107</v>
      </c>
      <c r="H4376" s="5" t="s">
        <v>20</v>
      </c>
      <c r="I4376" s="5" t="s">
        <v>10432</v>
      </c>
      <c r="J4376" s="12" t="str">
        <f>HYPERLINK("https://www.boe.es/gazeta/dias/1804/12/11/pdfs/GMD-1804-99.pdf#page=7","Abrir facsímil")</f>
        <v>Abrir facsímil</v>
      </c>
      <c r="K4376" s="15" t="s">
        <v>22</v>
      </c>
    </row>
    <row r="4377" spans="1:11" ht="42" customHeight="1">
      <c r="A4377" s="4" t="s">
        <v>10433</v>
      </c>
      <c r="B4377" s="5" t="s">
        <v>10434</v>
      </c>
      <c r="C4377" s="5" t="s">
        <v>27</v>
      </c>
      <c r="D4377" s="5" t="s">
        <v>28</v>
      </c>
      <c r="E4377" s="5" t="s">
        <v>81</v>
      </c>
      <c r="F4377" s="9">
        <v>98</v>
      </c>
      <c r="G4377" s="9">
        <v>1089</v>
      </c>
      <c r="H4377" s="5" t="s">
        <v>20</v>
      </c>
      <c r="I4377" s="5" t="s">
        <v>10435</v>
      </c>
      <c r="J4377" s="12" t="str">
        <f>HYPERLINK("https://www.boe.es/gazeta/dias/1804/12/07/pdfs/GMD-1804-98.pdf#page=5","Abrir facsímil")</f>
        <v>Abrir facsímil</v>
      </c>
      <c r="K4377" s="15" t="s">
        <v>22</v>
      </c>
    </row>
    <row r="4378" spans="1:11" ht="42" customHeight="1">
      <c r="A4378" s="4" t="s">
        <v>10436</v>
      </c>
      <c r="B4378" s="5" t="s">
        <v>10436</v>
      </c>
      <c r="C4378" s="5" t="s">
        <v>57</v>
      </c>
      <c r="D4378" s="5" t="s">
        <v>58</v>
      </c>
      <c r="E4378" s="5" t="s">
        <v>298</v>
      </c>
      <c r="F4378" s="9">
        <v>10</v>
      </c>
      <c r="G4378" s="9">
        <v>104</v>
      </c>
      <c r="H4378" s="5" t="s">
        <v>20</v>
      </c>
      <c r="I4378" s="5" t="s">
        <v>10437</v>
      </c>
      <c r="J4378" s="12" t="str">
        <f>HYPERLINK("https://www.boe.es/gazeta/dias/1804/02/03/pdfs/GMD-1804-10.pdf#page=4","Abrir facsímil")</f>
        <v>Abrir facsímil</v>
      </c>
      <c r="K4378" s="15" t="s">
        <v>22</v>
      </c>
    </row>
    <row r="4379" spans="1:11" ht="42" customHeight="1">
      <c r="A4379" s="4" t="s">
        <v>10438</v>
      </c>
      <c r="B4379" s="5" t="s">
        <v>10439</v>
      </c>
      <c r="C4379" s="5" t="s">
        <v>17</v>
      </c>
      <c r="D4379" s="5" t="s">
        <v>18</v>
      </c>
      <c r="E4379" s="5" t="s">
        <v>67</v>
      </c>
      <c r="F4379" s="9">
        <v>59</v>
      </c>
      <c r="G4379" s="9">
        <v>656</v>
      </c>
      <c r="H4379" s="5" t="s">
        <v>20</v>
      </c>
      <c r="I4379" s="5" t="s">
        <v>10440</v>
      </c>
      <c r="J4379" s="12" t="str">
        <f>HYPERLINK("https://www.boe.es/gazeta/dias/1804/07/24/pdfs/GMD-1804-59.pdf#page=10","Abrir facsímil")</f>
        <v>Abrir facsímil</v>
      </c>
      <c r="K4379" s="15" t="s">
        <v>22</v>
      </c>
    </row>
    <row r="4380" spans="1:11" ht="42" customHeight="1">
      <c r="A4380" s="4" t="s">
        <v>10441</v>
      </c>
      <c r="B4380" s="5" t="s">
        <v>10442</v>
      </c>
      <c r="C4380" s="5" t="s">
        <v>17</v>
      </c>
      <c r="D4380" s="5" t="s">
        <v>18</v>
      </c>
      <c r="E4380" s="5" t="s">
        <v>794</v>
      </c>
      <c r="F4380" s="9">
        <v>42</v>
      </c>
      <c r="G4380" s="9">
        <v>472</v>
      </c>
      <c r="H4380" s="5" t="s">
        <v>20</v>
      </c>
      <c r="I4380" s="5" t="s">
        <v>10443</v>
      </c>
      <c r="J4380" s="12" t="str">
        <f>HYPERLINK("https://www.boe.es/gazeta/dias/1804/05/25/pdfs/GMD-1804-42.pdf#page=10","Abrir facsímil")</f>
        <v>Abrir facsímil</v>
      </c>
      <c r="K4380" s="15" t="s">
        <v>22</v>
      </c>
    </row>
    <row r="4381" spans="1:11" ht="42" customHeight="1">
      <c r="A4381" s="4" t="s">
        <v>10444</v>
      </c>
      <c r="B4381" s="5" t="s">
        <v>10445</v>
      </c>
      <c r="C4381" s="5" t="s">
        <v>27</v>
      </c>
      <c r="D4381" s="5" t="s">
        <v>28</v>
      </c>
      <c r="E4381" s="5" t="s">
        <v>354</v>
      </c>
      <c r="F4381" s="9">
        <v>1</v>
      </c>
      <c r="G4381" s="9">
        <v>10</v>
      </c>
      <c r="H4381" s="5" t="s">
        <v>20</v>
      </c>
      <c r="I4381" s="5" t="s">
        <v>10446</v>
      </c>
      <c r="J4381" s="12" t="str">
        <f>HYPERLINK("https://www.boe.es/gazeta/dias/1804/01/03/pdfs/GMD-1804-1.pdf#page=10","Abrir facsímil")</f>
        <v>Abrir facsímil</v>
      </c>
      <c r="K4381" s="15" t="s">
        <v>22</v>
      </c>
    </row>
    <row r="4382" spans="1:11" ht="42" customHeight="1">
      <c r="A4382" s="4" t="s">
        <v>10447</v>
      </c>
      <c r="B4382" s="5" t="s">
        <v>10447</v>
      </c>
      <c r="C4382" s="5" t="s">
        <v>27</v>
      </c>
      <c r="D4382" s="5" t="s">
        <v>28</v>
      </c>
      <c r="E4382" s="5" t="s">
        <v>326</v>
      </c>
      <c r="F4382" s="9">
        <v>69</v>
      </c>
      <c r="G4382" s="9">
        <v>772</v>
      </c>
      <c r="H4382" s="5" t="s">
        <v>20</v>
      </c>
      <c r="I4382" s="5" t="s">
        <v>10448</v>
      </c>
      <c r="J4382" s="12" t="str">
        <f>HYPERLINK("https://www.boe.es/gazeta/dias/1804/08/28/pdfs/GMD-1804-69.pdf#page=6","Abrir facsímil")</f>
        <v>Abrir facsímil</v>
      </c>
      <c r="K4382" s="15" t="s">
        <v>22</v>
      </c>
    </row>
    <row r="4383" spans="1:11" ht="42" customHeight="1">
      <c r="A4383" s="4" t="s">
        <v>10447</v>
      </c>
      <c r="B4383" s="5" t="s">
        <v>10447</v>
      </c>
      <c r="C4383" s="5" t="s">
        <v>57</v>
      </c>
      <c r="D4383" s="5" t="s">
        <v>58</v>
      </c>
      <c r="E4383" s="5" t="s">
        <v>526</v>
      </c>
      <c r="F4383" s="9">
        <v>95</v>
      </c>
      <c r="G4383" s="9">
        <v>1053</v>
      </c>
      <c r="H4383" s="5" t="s">
        <v>20</v>
      </c>
      <c r="I4383" s="5" t="s">
        <v>10449</v>
      </c>
      <c r="J4383" s="12" t="str">
        <f>HYPERLINK("https://www.boe.es/gazeta/dias/1804/11/27/pdfs/GMD-1804-95.pdf#page=5","Abrir facsímil")</f>
        <v>Abrir facsímil</v>
      </c>
      <c r="K4383" s="15" t="s">
        <v>22</v>
      </c>
    </row>
    <row r="4384" spans="1:11" ht="42" customHeight="1">
      <c r="A4384" s="4" t="s">
        <v>10447</v>
      </c>
      <c r="B4384" s="5" t="s">
        <v>10447</v>
      </c>
      <c r="C4384" s="5" t="s">
        <v>17</v>
      </c>
      <c r="D4384" s="5" t="s">
        <v>18</v>
      </c>
      <c r="E4384" s="5" t="s">
        <v>71</v>
      </c>
      <c r="F4384" s="9">
        <v>99</v>
      </c>
      <c r="G4384" s="9">
        <v>1103</v>
      </c>
      <c r="H4384" s="5" t="s">
        <v>20</v>
      </c>
      <c r="I4384" s="5" t="s">
        <v>10450</v>
      </c>
      <c r="J4384" s="12" t="str">
        <f>HYPERLINK("https://www.boe.es/gazeta/dias/1804/12/11/pdfs/GMD-1804-99.pdf#page=3","Abrir facsímil")</f>
        <v>Abrir facsímil</v>
      </c>
      <c r="K4384" s="15" t="s">
        <v>22</v>
      </c>
    </row>
    <row r="4385" spans="1:11" ht="42" customHeight="1">
      <c r="A4385" s="4" t="s">
        <v>10451</v>
      </c>
      <c r="B4385" s="5" t="s">
        <v>10452</v>
      </c>
      <c r="C4385" s="5" t="s">
        <v>65</v>
      </c>
      <c r="D4385" s="5" t="s">
        <v>66</v>
      </c>
      <c r="E4385" s="5" t="s">
        <v>132</v>
      </c>
      <c r="F4385" s="9">
        <v>52</v>
      </c>
      <c r="G4385" s="9">
        <v>574</v>
      </c>
      <c r="H4385" s="5" t="s">
        <v>20</v>
      </c>
      <c r="I4385" s="5" t="s">
        <v>10453</v>
      </c>
      <c r="J4385" s="12" t="str">
        <f>HYPERLINK("https://www.boe.es/gazeta/dias/1804/06/29/pdfs/GMD-1804-52.pdf#page=8","Abrir facsímil")</f>
        <v>Abrir facsímil</v>
      </c>
      <c r="K4385" s="15" t="s">
        <v>22</v>
      </c>
    </row>
    <row r="4386" spans="1:11" ht="42" customHeight="1">
      <c r="A4386" s="4" t="s">
        <v>10454</v>
      </c>
      <c r="B4386" s="5" t="s">
        <v>10455</v>
      </c>
      <c r="C4386" s="5" t="s">
        <v>27</v>
      </c>
      <c r="D4386" s="5" t="s">
        <v>28</v>
      </c>
      <c r="E4386" s="5" t="s">
        <v>37</v>
      </c>
      <c r="F4386" s="9">
        <v>29</v>
      </c>
      <c r="G4386" s="9">
        <v>320</v>
      </c>
      <c r="H4386" s="5" t="s">
        <v>20</v>
      </c>
      <c r="I4386" s="5" t="s">
        <v>10456</v>
      </c>
      <c r="J4386" s="12" t="str">
        <f>HYPERLINK("https://www.boe.es/gazeta/dias/1804/04/10/pdfs/GMD-1804-29.pdf#page=10","Abrir facsímil")</f>
        <v>Abrir facsímil</v>
      </c>
      <c r="K4386" s="15" t="s">
        <v>22</v>
      </c>
    </row>
    <row r="4387" spans="1:11" ht="42" customHeight="1">
      <c r="A4387" s="4" t="s">
        <v>10457</v>
      </c>
      <c r="B4387" s="5" t="s">
        <v>10458</v>
      </c>
      <c r="C4387" s="5" t="s">
        <v>85</v>
      </c>
      <c r="D4387" s="5" t="s">
        <v>86</v>
      </c>
      <c r="E4387" s="5" t="s">
        <v>251</v>
      </c>
      <c r="F4387" s="9">
        <v>79</v>
      </c>
      <c r="G4387" s="9">
        <v>882</v>
      </c>
      <c r="H4387" s="5" t="s">
        <v>20</v>
      </c>
      <c r="I4387" s="5" t="s">
        <v>10459</v>
      </c>
      <c r="J4387" s="12" t="str">
        <f>HYPERLINK("https://www.boe.es/gazeta/dias/1804/10/02/pdfs/GMD-1804-79.pdf#page=12","Abrir facsímil")</f>
        <v>Abrir facsímil</v>
      </c>
      <c r="K4387" s="15" t="s">
        <v>22</v>
      </c>
    </row>
    <row r="4388" spans="1:11" ht="42" customHeight="1">
      <c r="A4388" s="4" t="s">
        <v>10460</v>
      </c>
      <c r="B4388" s="5" t="s">
        <v>10461</v>
      </c>
      <c r="C4388" s="5" t="s">
        <v>120</v>
      </c>
      <c r="D4388" s="5" t="s">
        <v>121</v>
      </c>
      <c r="E4388" s="5" t="s">
        <v>33</v>
      </c>
      <c r="F4388" s="9">
        <v>48</v>
      </c>
      <c r="G4388" s="9" t="s">
        <v>285</v>
      </c>
      <c r="H4388" s="5" t="s">
        <v>20</v>
      </c>
      <c r="I4388" s="5" t="s">
        <v>10462</v>
      </c>
      <c r="J4388" s="12" t="str">
        <f>HYPERLINK("https://www.boe.es/gazeta/dias/1804/06/15/pdfs/GMD-C-1804-48.pdf#page=2","Abrir facsímil")</f>
        <v>Abrir facsímil</v>
      </c>
      <c r="K4388" s="15" t="s">
        <v>22</v>
      </c>
    </row>
    <row r="4389" spans="1:11" ht="42" customHeight="1">
      <c r="A4389" s="4" t="s">
        <v>10463</v>
      </c>
      <c r="B4389" s="5" t="s">
        <v>10464</v>
      </c>
      <c r="C4389" s="5" t="s">
        <v>57</v>
      </c>
      <c r="D4389" s="5" t="s">
        <v>58</v>
      </c>
      <c r="E4389" s="5" t="s">
        <v>794</v>
      </c>
      <c r="F4389" s="9">
        <v>42</v>
      </c>
      <c r="G4389" s="9">
        <v>468</v>
      </c>
      <c r="H4389" s="5" t="s">
        <v>20</v>
      </c>
      <c r="I4389" s="5" t="s">
        <v>10465</v>
      </c>
      <c r="J4389" s="12" t="str">
        <f>HYPERLINK("https://www.boe.es/gazeta/dias/1804/05/25/pdfs/GMD-1804-42.pdf#page=6","Abrir facsímil")</f>
        <v>Abrir facsímil</v>
      </c>
      <c r="K4389" s="15" t="s">
        <v>22</v>
      </c>
    </row>
    <row r="4390" spans="1:11" ht="42" customHeight="1">
      <c r="A4390" s="4" t="s">
        <v>10466</v>
      </c>
      <c r="B4390" s="5" t="s">
        <v>10467</v>
      </c>
      <c r="C4390" s="5" t="s">
        <v>27</v>
      </c>
      <c r="D4390" s="5" t="s">
        <v>28</v>
      </c>
      <c r="E4390" s="5" t="s">
        <v>490</v>
      </c>
      <c r="F4390" s="9">
        <v>100</v>
      </c>
      <c r="G4390" s="9">
        <v>1119</v>
      </c>
      <c r="H4390" s="5" t="s">
        <v>20</v>
      </c>
      <c r="I4390" s="5" t="s">
        <v>10468</v>
      </c>
      <c r="J4390" s="12" t="str">
        <f>HYPERLINK("https://www.boe.es/gazeta/dias/1804/12/14/pdfs/GMD-1804-100.pdf#page=11","Abrir facsímil")</f>
        <v>Abrir facsímil</v>
      </c>
      <c r="K4390" s="15" t="s">
        <v>22</v>
      </c>
    </row>
    <row r="4391" spans="1:11" ht="42" customHeight="1">
      <c r="A4391" s="4" t="s">
        <v>10469</v>
      </c>
      <c r="B4391" s="5" t="s">
        <v>10469</v>
      </c>
      <c r="C4391" s="5" t="s">
        <v>27</v>
      </c>
      <c r="D4391" s="5" t="s">
        <v>28</v>
      </c>
      <c r="E4391" s="5" t="s">
        <v>326</v>
      </c>
      <c r="F4391" s="9">
        <v>69</v>
      </c>
      <c r="G4391" s="9">
        <v>773</v>
      </c>
      <c r="H4391" s="5" t="s">
        <v>20</v>
      </c>
      <c r="I4391" s="5" t="s">
        <v>10470</v>
      </c>
      <c r="J4391" s="12" t="str">
        <f>HYPERLINK("https://www.boe.es/gazeta/dias/1804/08/28/pdfs/GMD-1804-69.pdf#page=7","Abrir facsímil")</f>
        <v>Abrir facsímil</v>
      </c>
      <c r="K4391" s="15" t="s">
        <v>22</v>
      </c>
    </row>
    <row r="4392" spans="1:11" ht="42" customHeight="1">
      <c r="A4392" s="4" t="s">
        <v>10471</v>
      </c>
      <c r="B4392" s="5" t="s">
        <v>10472</v>
      </c>
      <c r="C4392" s="5" t="s">
        <v>85</v>
      </c>
      <c r="D4392" s="5" t="s">
        <v>86</v>
      </c>
      <c r="E4392" s="5" t="s">
        <v>272</v>
      </c>
      <c r="F4392" s="9">
        <v>30</v>
      </c>
      <c r="G4392" s="9">
        <v>330</v>
      </c>
      <c r="H4392" s="5" t="s">
        <v>20</v>
      </c>
      <c r="I4392" s="5" t="s">
        <v>10473</v>
      </c>
      <c r="J4392" s="12" t="str">
        <f>HYPERLINK("https://www.boe.es/gazeta/dias/1804/04/13/pdfs/GMD-1804-30.pdf#page=8","Abrir facsímil")</f>
        <v>Abrir facsímil</v>
      </c>
      <c r="K4392" s="15" t="s">
        <v>22</v>
      </c>
    </row>
    <row r="4393" spans="1:11" ht="42" customHeight="1">
      <c r="A4393" s="4" t="s">
        <v>10474</v>
      </c>
      <c r="B4393" s="5" t="s">
        <v>10474</v>
      </c>
      <c r="C4393" s="5" t="s">
        <v>57</v>
      </c>
      <c r="D4393" s="5" t="s">
        <v>58</v>
      </c>
      <c r="E4393" s="5" t="s">
        <v>241</v>
      </c>
      <c r="F4393" s="9">
        <v>71</v>
      </c>
      <c r="G4393" s="9">
        <v>789</v>
      </c>
      <c r="H4393" s="5" t="s">
        <v>20</v>
      </c>
      <c r="I4393" s="5" t="s">
        <v>10475</v>
      </c>
      <c r="J4393" s="12" t="str">
        <f>HYPERLINK("https://www.boe.es/gazeta/dias/1804/09/04/pdfs/GMD-1804-71.pdf#page=3","Abrir facsímil")</f>
        <v>Abrir facsímil</v>
      </c>
      <c r="K4393" s="15" t="s">
        <v>22</v>
      </c>
    </row>
    <row r="4394" spans="1:11" ht="42" customHeight="1">
      <c r="A4394" s="4" t="s">
        <v>10476</v>
      </c>
      <c r="B4394" s="5" t="s">
        <v>10477</v>
      </c>
      <c r="C4394" s="5" t="s">
        <v>57</v>
      </c>
      <c r="D4394" s="5" t="s">
        <v>58</v>
      </c>
      <c r="E4394" s="5" t="s">
        <v>678</v>
      </c>
      <c r="F4394" s="9">
        <v>104</v>
      </c>
      <c r="G4394" s="9">
        <v>1153</v>
      </c>
      <c r="H4394" s="5" t="s">
        <v>20</v>
      </c>
      <c r="I4394" s="5" t="s">
        <v>10478</v>
      </c>
      <c r="J4394" s="12" t="str">
        <f>HYPERLINK("https://www.boe.es/gazeta/dias/1804/12/28/pdfs/GMD-1804-104.pdf#page=1","Abrir facsímil")</f>
        <v>Abrir facsímil</v>
      </c>
      <c r="K4394" s="15" t="s">
        <v>22</v>
      </c>
    </row>
    <row r="4395" spans="1:11" ht="42" customHeight="1">
      <c r="A4395" s="4" t="s">
        <v>10479</v>
      </c>
      <c r="B4395" s="5" t="s">
        <v>10480</v>
      </c>
      <c r="C4395" s="5" t="s">
        <v>65</v>
      </c>
      <c r="D4395" s="5" t="s">
        <v>66</v>
      </c>
      <c r="E4395" s="5" t="s">
        <v>178</v>
      </c>
      <c r="F4395" s="9">
        <v>20</v>
      </c>
      <c r="G4395" s="9">
        <v>220</v>
      </c>
      <c r="H4395" s="5" t="s">
        <v>20</v>
      </c>
      <c r="I4395" s="5" t="s">
        <v>10481</v>
      </c>
      <c r="J4395" s="12" t="str">
        <f>HYPERLINK("https://www.boe.es/gazeta/dias/1804/03/09/pdfs/GMD-1804-20.pdf#page=8","Abrir facsímil")</f>
        <v>Abrir facsímil</v>
      </c>
      <c r="K4395" s="15" t="s">
        <v>22</v>
      </c>
    </row>
    <row r="4396" spans="1:11" ht="42" customHeight="1">
      <c r="A4396" s="4" t="s">
        <v>10482</v>
      </c>
      <c r="B4396" s="5" t="s">
        <v>10482</v>
      </c>
      <c r="C4396" s="5" t="s">
        <v>27</v>
      </c>
      <c r="D4396" s="5" t="s">
        <v>28</v>
      </c>
      <c r="E4396" s="5" t="s">
        <v>178</v>
      </c>
      <c r="F4396" s="9">
        <v>20</v>
      </c>
      <c r="G4396" s="9">
        <v>217</v>
      </c>
      <c r="H4396" s="5" t="s">
        <v>20</v>
      </c>
      <c r="I4396" s="5" t="s">
        <v>10483</v>
      </c>
      <c r="J4396" s="12" t="str">
        <f>HYPERLINK("https://www.boe.es/gazeta/dias/1804/03/09/pdfs/GMD-1804-20.pdf#page=5","Abrir facsímil")</f>
        <v>Abrir facsímil</v>
      </c>
      <c r="K4396" s="15" t="s">
        <v>22</v>
      </c>
    </row>
    <row r="4397" spans="1:11" ht="42" customHeight="1">
      <c r="A4397" s="4" t="s">
        <v>10484</v>
      </c>
      <c r="B4397" s="5" t="s">
        <v>10484</v>
      </c>
      <c r="C4397" s="5" t="s">
        <v>27</v>
      </c>
      <c r="D4397" s="5" t="s">
        <v>28</v>
      </c>
      <c r="E4397" s="5" t="s">
        <v>206</v>
      </c>
      <c r="F4397" s="9">
        <v>44</v>
      </c>
      <c r="G4397" s="9">
        <v>488</v>
      </c>
      <c r="H4397" s="5" t="s">
        <v>20</v>
      </c>
      <c r="I4397" s="5" t="s">
        <v>10485</v>
      </c>
      <c r="J4397" s="12" t="str">
        <f>HYPERLINK("https://www.boe.es/gazeta/dias/1804/06/01/pdfs/GMD-1804-44.pdf#page=6","Abrir facsímil")</f>
        <v>Abrir facsímil</v>
      </c>
      <c r="K4397" s="15" t="s">
        <v>22</v>
      </c>
    </row>
    <row r="4398" spans="1:11" ht="42" customHeight="1">
      <c r="A4398" s="4" t="s">
        <v>10486</v>
      </c>
      <c r="B4398" s="5" t="s">
        <v>10487</v>
      </c>
      <c r="C4398" s="5" t="s">
        <v>57</v>
      </c>
      <c r="D4398" s="5" t="s">
        <v>58</v>
      </c>
      <c r="E4398" s="5" t="s">
        <v>511</v>
      </c>
      <c r="F4398" s="9">
        <v>12</v>
      </c>
      <c r="G4398" s="9">
        <v>125</v>
      </c>
      <c r="H4398" s="5" t="s">
        <v>20</v>
      </c>
      <c r="I4398" s="5" t="s">
        <v>10488</v>
      </c>
      <c r="J4398" s="12" t="str">
        <f>HYPERLINK("https://www.boe.es/gazeta/dias/1804/02/10/pdfs/GMD-1804-12.pdf#page=1","Abrir facsímil")</f>
        <v>Abrir facsímil</v>
      </c>
      <c r="K4398" s="15" t="s">
        <v>22</v>
      </c>
    </row>
    <row r="4399" spans="1:11" ht="42" customHeight="1">
      <c r="A4399" s="4" t="s">
        <v>10489</v>
      </c>
      <c r="B4399" s="5" t="s">
        <v>10489</v>
      </c>
      <c r="C4399" s="5" t="s">
        <v>262</v>
      </c>
      <c r="D4399" s="5" t="s">
        <v>263</v>
      </c>
      <c r="E4399" s="5" t="s">
        <v>736</v>
      </c>
      <c r="F4399" s="9">
        <v>83</v>
      </c>
      <c r="G4399" s="9" t="s">
        <v>98</v>
      </c>
      <c r="H4399" s="5" t="s">
        <v>20</v>
      </c>
      <c r="I4399" s="5" t="s">
        <v>10490</v>
      </c>
      <c r="J4399" s="12" t="str">
        <f>HYPERLINK("https://www.boe.es/gazeta/dias/1804/10/16/pdfs/GMD-C-1804-83.pdf#page=1","Abrir facsímil")</f>
        <v>Abrir facsímil</v>
      </c>
      <c r="K4399" s="15" t="s">
        <v>22</v>
      </c>
    </row>
    <row r="4400" spans="1:11" ht="42" customHeight="1">
      <c r="A4400" s="4" t="s">
        <v>10491</v>
      </c>
      <c r="B4400" s="5" t="s">
        <v>10491</v>
      </c>
      <c r="C4400" s="5" t="s">
        <v>57</v>
      </c>
      <c r="D4400" s="5" t="s">
        <v>58</v>
      </c>
      <c r="E4400" s="5" t="s">
        <v>258</v>
      </c>
      <c r="F4400" s="9">
        <v>14</v>
      </c>
      <c r="G4400" s="9">
        <v>150</v>
      </c>
      <c r="H4400" s="5" t="s">
        <v>20</v>
      </c>
      <c r="I4400" s="5" t="s">
        <v>10492</v>
      </c>
      <c r="J4400" s="12" t="str">
        <f>HYPERLINK("https://www.boe.es/gazeta/dias/1804/02/17/pdfs/GMD-1804-14.pdf#page=6","Abrir facsímil")</f>
        <v>Abrir facsímil</v>
      </c>
      <c r="K4400" s="15" t="s">
        <v>22</v>
      </c>
    </row>
    <row r="4401" spans="1:11" ht="42" customHeight="1">
      <c r="A4401" s="4" t="s">
        <v>10493</v>
      </c>
      <c r="B4401" s="5" t="s">
        <v>10493</v>
      </c>
      <c r="C4401" s="5" t="s">
        <v>27</v>
      </c>
      <c r="D4401" s="5" t="s">
        <v>28</v>
      </c>
      <c r="E4401" s="5" t="s">
        <v>178</v>
      </c>
      <c r="F4401" s="9">
        <v>20</v>
      </c>
      <c r="G4401" s="9">
        <v>217</v>
      </c>
      <c r="H4401" s="5" t="s">
        <v>20</v>
      </c>
      <c r="I4401" s="5" t="s">
        <v>10494</v>
      </c>
      <c r="J4401" s="12" t="str">
        <f>HYPERLINK("https://www.boe.es/gazeta/dias/1804/03/09/pdfs/GMD-1804-20.pdf#page=5","Abrir facsímil")</f>
        <v>Abrir facsímil</v>
      </c>
      <c r="K4401" s="15" t="s">
        <v>22</v>
      </c>
    </row>
    <row r="4402" spans="1:11" ht="42" customHeight="1">
      <c r="A4402" s="4" t="s">
        <v>10495</v>
      </c>
      <c r="B4402" s="5" t="s">
        <v>10495</v>
      </c>
      <c r="C4402" s="5" t="s">
        <v>57</v>
      </c>
      <c r="D4402" s="5" t="s">
        <v>58</v>
      </c>
      <c r="E4402" s="5" t="s">
        <v>298</v>
      </c>
      <c r="F4402" s="9">
        <v>10</v>
      </c>
      <c r="G4402" s="9">
        <v>107</v>
      </c>
      <c r="H4402" s="5" t="s">
        <v>20</v>
      </c>
      <c r="I4402" s="5" t="s">
        <v>10496</v>
      </c>
      <c r="J4402" s="12" t="str">
        <f>HYPERLINK("https://www.boe.es/gazeta/dias/1804/02/03/pdfs/GMD-1804-10.pdf#page=7","Abrir facsímil")</f>
        <v>Abrir facsímil</v>
      </c>
      <c r="K4402" s="15" t="s">
        <v>22</v>
      </c>
    </row>
    <row r="4403" spans="1:11" ht="42" customHeight="1">
      <c r="A4403" s="4" t="s">
        <v>10497</v>
      </c>
      <c r="B4403" s="5" t="s">
        <v>10497</v>
      </c>
      <c r="C4403" s="5" t="s">
        <v>17</v>
      </c>
      <c r="D4403" s="5" t="s">
        <v>18</v>
      </c>
      <c r="E4403" s="5" t="s">
        <v>103</v>
      </c>
      <c r="F4403" s="9">
        <v>11</v>
      </c>
      <c r="G4403" s="9">
        <v>121</v>
      </c>
      <c r="H4403" s="5" t="s">
        <v>20</v>
      </c>
      <c r="I4403" s="5" t="s">
        <v>10498</v>
      </c>
      <c r="J4403" s="12" t="str">
        <f>HYPERLINK("https://www.boe.es/gazeta/dias/1804/02/07/pdfs/GMD-1804-11.pdf#page=9","Abrir facsímil")</f>
        <v>Abrir facsímil</v>
      </c>
      <c r="K4403" s="15" t="s">
        <v>22</v>
      </c>
    </row>
    <row r="4404" spans="1:11" ht="42" customHeight="1">
      <c r="A4404" s="4" t="s">
        <v>10497</v>
      </c>
      <c r="B4404" s="5" t="s">
        <v>10497</v>
      </c>
      <c r="C4404" s="5" t="s">
        <v>57</v>
      </c>
      <c r="D4404" s="5" t="s">
        <v>58</v>
      </c>
      <c r="E4404" s="5" t="s">
        <v>77</v>
      </c>
      <c r="F4404" s="9">
        <v>32</v>
      </c>
      <c r="G4404" s="9">
        <v>353</v>
      </c>
      <c r="H4404" s="5" t="s">
        <v>20</v>
      </c>
      <c r="I4404" s="5" t="s">
        <v>10499</v>
      </c>
      <c r="J4404" s="12" t="str">
        <f>HYPERLINK("https://www.boe.es/gazeta/dias/1804/04/20/pdfs/GMD-1804-32.pdf#page=7","Abrir facsímil")</f>
        <v>Abrir facsímil</v>
      </c>
      <c r="K4404" s="15" t="s">
        <v>22</v>
      </c>
    </row>
    <row r="4405" spans="1:11" ht="42" customHeight="1">
      <c r="A4405" s="4" t="s">
        <v>10500</v>
      </c>
      <c r="B4405" s="5" t="s">
        <v>10500</v>
      </c>
      <c r="C4405" s="5" t="s">
        <v>57</v>
      </c>
      <c r="D4405" s="5" t="s">
        <v>58</v>
      </c>
      <c r="E4405" s="5" t="s">
        <v>178</v>
      </c>
      <c r="F4405" s="9">
        <v>20</v>
      </c>
      <c r="G4405" s="9">
        <v>217</v>
      </c>
      <c r="H4405" s="5" t="s">
        <v>20</v>
      </c>
      <c r="I4405" s="5" t="s">
        <v>10501</v>
      </c>
      <c r="J4405" s="12" t="str">
        <f>HYPERLINK("https://www.boe.es/gazeta/dias/1804/03/09/pdfs/GMD-1804-20.pdf#page=5","Abrir facsímil")</f>
        <v>Abrir facsímil</v>
      </c>
      <c r="K4405" s="15" t="s">
        <v>22</v>
      </c>
    </row>
    <row r="4406" spans="1:11" ht="42" customHeight="1">
      <c r="A4406" s="4" t="s">
        <v>10502</v>
      </c>
      <c r="B4406" s="5" t="s">
        <v>10502</v>
      </c>
      <c r="C4406" s="5" t="s">
        <v>57</v>
      </c>
      <c r="D4406" s="5" t="s">
        <v>58</v>
      </c>
      <c r="E4406" s="5" t="s">
        <v>258</v>
      </c>
      <c r="F4406" s="9">
        <v>14</v>
      </c>
      <c r="G4406" s="9">
        <v>148</v>
      </c>
      <c r="H4406" s="5" t="s">
        <v>20</v>
      </c>
      <c r="I4406" s="5" t="s">
        <v>10503</v>
      </c>
      <c r="J4406" s="12" t="str">
        <f>HYPERLINK("https://www.boe.es/gazeta/dias/1804/02/17/pdfs/GMD-1804-14.pdf#page=4","Abrir facsímil")</f>
        <v>Abrir facsímil</v>
      </c>
      <c r="K4406" s="15" t="s">
        <v>22</v>
      </c>
    </row>
    <row r="4407" spans="1:11" ht="42" customHeight="1">
      <c r="A4407" s="4" t="s">
        <v>10504</v>
      </c>
      <c r="B4407" s="5" t="s">
        <v>10504</v>
      </c>
      <c r="C4407" s="5" t="s">
        <v>65</v>
      </c>
      <c r="D4407" s="5" t="s">
        <v>66</v>
      </c>
      <c r="E4407" s="5" t="s">
        <v>367</v>
      </c>
      <c r="F4407" s="9">
        <v>64</v>
      </c>
      <c r="G4407" s="9">
        <v>710</v>
      </c>
      <c r="H4407" s="5" t="s">
        <v>20</v>
      </c>
      <c r="I4407" s="5" t="s">
        <v>10505</v>
      </c>
      <c r="J4407" s="12" t="str">
        <f>HYPERLINK("https://www.boe.es/gazeta/dias/1804/08/10/pdfs/GMD-1804-64.pdf#page=4","Abrir facsímil")</f>
        <v>Abrir facsímil</v>
      </c>
      <c r="K4407" s="15" t="s">
        <v>22</v>
      </c>
    </row>
    <row r="4408" spans="1:11" ht="42" customHeight="1">
      <c r="A4408" s="4" t="s">
        <v>10506</v>
      </c>
      <c r="B4408" s="5" t="s">
        <v>10506</v>
      </c>
      <c r="C4408" s="5" t="s">
        <v>57</v>
      </c>
      <c r="D4408" s="5" t="s">
        <v>58</v>
      </c>
      <c r="E4408" s="5" t="s">
        <v>251</v>
      </c>
      <c r="F4408" s="9">
        <v>79</v>
      </c>
      <c r="G4408" s="9">
        <v>877</v>
      </c>
      <c r="H4408" s="5" t="s">
        <v>20</v>
      </c>
      <c r="I4408" s="5" t="s">
        <v>10507</v>
      </c>
      <c r="J4408" s="12" t="str">
        <f>HYPERLINK("https://www.boe.es/gazeta/dias/1804/10/02/pdfs/GMD-1804-79.pdf#page=7","Abrir facsímil")</f>
        <v>Abrir facsímil</v>
      </c>
      <c r="K4408" s="15" t="s">
        <v>22</v>
      </c>
    </row>
    <row r="4409" spans="1:11" ht="42" customHeight="1">
      <c r="A4409" s="4" t="s">
        <v>10506</v>
      </c>
      <c r="B4409" s="5" t="s">
        <v>10506</v>
      </c>
      <c r="C4409" s="5" t="s">
        <v>57</v>
      </c>
      <c r="D4409" s="5" t="s">
        <v>58</v>
      </c>
      <c r="E4409" s="5" t="s">
        <v>576</v>
      </c>
      <c r="F4409" s="9">
        <v>85</v>
      </c>
      <c r="G4409" s="9">
        <v>937</v>
      </c>
      <c r="H4409" s="5" t="s">
        <v>20</v>
      </c>
      <c r="I4409" s="5" t="s">
        <v>10508</v>
      </c>
      <c r="J4409" s="12" t="str">
        <f>HYPERLINK("https://www.boe.es/gazeta/dias/1804/10/23/pdfs/GMD-1804-85.pdf#page=7","Abrir facsímil")</f>
        <v>Abrir facsímil</v>
      </c>
      <c r="K4409" s="15" t="s">
        <v>22</v>
      </c>
    </row>
    <row r="4410" spans="1:11" ht="42" customHeight="1">
      <c r="A4410" s="4" t="s">
        <v>10509</v>
      </c>
      <c r="B4410" s="5" t="s">
        <v>10510</v>
      </c>
      <c r="C4410" s="5" t="s">
        <v>85</v>
      </c>
      <c r="D4410" s="5" t="s">
        <v>86</v>
      </c>
      <c r="E4410" s="5" t="s">
        <v>666</v>
      </c>
      <c r="F4410" s="9">
        <v>57</v>
      </c>
      <c r="G4410" s="9">
        <v>623</v>
      </c>
      <c r="H4410" s="5" t="s">
        <v>20</v>
      </c>
      <c r="I4410" s="5" t="s">
        <v>10511</v>
      </c>
      <c r="J4410" s="12" t="str">
        <f>HYPERLINK("https://www.boe.es/gazeta/dias/1804/07/17/pdfs/GMD-1804-57.pdf#page=1","Abrir facsímil")</f>
        <v>Abrir facsímil</v>
      </c>
      <c r="K4410" s="15" t="s">
        <v>22</v>
      </c>
    </row>
    <row r="4411" spans="1:11" ht="42" customHeight="1">
      <c r="A4411" s="4" t="s">
        <v>10509</v>
      </c>
      <c r="B4411" s="5" t="s">
        <v>10510</v>
      </c>
      <c r="C4411" s="5" t="s">
        <v>65</v>
      </c>
      <c r="D4411" s="5" t="s">
        <v>66</v>
      </c>
      <c r="E4411" s="5" t="s">
        <v>61</v>
      </c>
      <c r="F4411" s="9">
        <v>61</v>
      </c>
      <c r="G4411" s="9">
        <v>671</v>
      </c>
      <c r="H4411" s="5" t="s">
        <v>20</v>
      </c>
      <c r="I4411" s="5" t="s">
        <v>10512</v>
      </c>
      <c r="J4411" s="12" t="str">
        <f>HYPERLINK("https://www.boe.es/gazeta/dias/1804/07/31/pdfs/GMD-1804-61.pdf#page=1","Abrir facsímil")</f>
        <v>Abrir facsímil</v>
      </c>
      <c r="K4411" s="15" t="s">
        <v>22</v>
      </c>
    </row>
    <row r="4412" spans="1:11" ht="42" customHeight="1">
      <c r="A4412" s="4" t="s">
        <v>10513</v>
      </c>
      <c r="B4412" s="5" t="s">
        <v>10513</v>
      </c>
      <c r="C4412" s="5" t="s">
        <v>85</v>
      </c>
      <c r="D4412" s="5" t="s">
        <v>86</v>
      </c>
      <c r="E4412" s="5" t="s">
        <v>736</v>
      </c>
      <c r="F4412" s="9">
        <v>83</v>
      </c>
      <c r="G4412" s="9">
        <v>921</v>
      </c>
      <c r="H4412" s="5" t="s">
        <v>20</v>
      </c>
      <c r="I4412" s="5" t="s">
        <v>10514</v>
      </c>
      <c r="J4412" s="12" t="str">
        <f>HYPERLINK("https://www.boe.es/gazeta/dias/1804/10/16/pdfs/GMD-1804-83.pdf#page=11","Abrir facsímil")</f>
        <v>Abrir facsímil</v>
      </c>
      <c r="K4412" s="15" t="s">
        <v>22</v>
      </c>
    </row>
    <row r="4413" spans="1:11" ht="42" customHeight="1">
      <c r="A4413" s="4" t="s">
        <v>10515</v>
      </c>
      <c r="B4413" s="5" t="s">
        <v>10516</v>
      </c>
      <c r="C4413" s="5" t="s">
        <v>65</v>
      </c>
      <c r="D4413" s="5" t="s">
        <v>66</v>
      </c>
      <c r="E4413" s="5" t="s">
        <v>147</v>
      </c>
      <c r="F4413" s="9">
        <v>77</v>
      </c>
      <c r="G4413" s="9">
        <v>858</v>
      </c>
      <c r="H4413" s="5" t="s">
        <v>20</v>
      </c>
      <c r="I4413" s="5" t="s">
        <v>10517</v>
      </c>
      <c r="J4413" s="12" t="str">
        <f>HYPERLINK("https://www.boe.es/gazeta/dias/1804/09/25/pdfs/GMD-1804-77.pdf#page=8","Abrir facsímil")</f>
        <v>Abrir facsímil</v>
      </c>
      <c r="K4413" s="15" t="s">
        <v>22</v>
      </c>
    </row>
    <row r="4414" spans="1:11" ht="42" customHeight="1">
      <c r="A4414" s="4" t="s">
        <v>10518</v>
      </c>
      <c r="B4414" s="5" t="s">
        <v>10519</v>
      </c>
      <c r="C4414" s="5" t="s">
        <v>27</v>
      </c>
      <c r="D4414" s="5" t="s">
        <v>28</v>
      </c>
      <c r="E4414" s="5" t="s">
        <v>37</v>
      </c>
      <c r="F4414" s="9">
        <v>29</v>
      </c>
      <c r="G4414" s="9">
        <v>319</v>
      </c>
      <c r="H4414" s="5" t="s">
        <v>20</v>
      </c>
      <c r="I4414" s="5" t="s">
        <v>10520</v>
      </c>
      <c r="J4414" s="12" t="str">
        <f>HYPERLINK("https://www.boe.es/gazeta/dias/1804/04/10/pdfs/GMD-1804-29.pdf#page=9","Abrir facsímil")</f>
        <v>Abrir facsímil</v>
      </c>
      <c r="K4414" s="15" t="s">
        <v>22</v>
      </c>
    </row>
    <row r="4415" spans="1:11" ht="42" customHeight="1">
      <c r="A4415" s="4" t="s">
        <v>10521</v>
      </c>
      <c r="B4415" s="5" t="s">
        <v>10522</v>
      </c>
      <c r="C4415" s="5" t="s">
        <v>17</v>
      </c>
      <c r="D4415" s="5" t="s">
        <v>18</v>
      </c>
      <c r="E4415" s="5" t="s">
        <v>587</v>
      </c>
      <c r="F4415" s="9">
        <v>62</v>
      </c>
      <c r="G4415" s="9">
        <v>687</v>
      </c>
      <c r="H4415" s="5" t="s">
        <v>20</v>
      </c>
      <c r="I4415" s="5" t="s">
        <v>10523</v>
      </c>
      <c r="J4415" s="12" t="str">
        <f>HYPERLINK("https://www.boe.es/gazeta/dias/1804/08/03/pdfs/GMD-1804-62.pdf#page=9","Abrir facsímil")</f>
        <v>Abrir facsímil</v>
      </c>
      <c r="K4415" s="15" t="s">
        <v>22</v>
      </c>
    </row>
    <row r="4416" spans="1:11" ht="42" customHeight="1">
      <c r="A4416" s="4" t="s">
        <v>10524</v>
      </c>
      <c r="B4416" s="5" t="s">
        <v>10525</v>
      </c>
      <c r="C4416" s="5" t="s">
        <v>27</v>
      </c>
      <c r="D4416" s="5" t="s">
        <v>28</v>
      </c>
      <c r="E4416" s="5" t="s">
        <v>453</v>
      </c>
      <c r="F4416" s="9">
        <v>33</v>
      </c>
      <c r="G4416" s="9">
        <v>367</v>
      </c>
      <c r="H4416" s="5" t="s">
        <v>20</v>
      </c>
      <c r="I4416" s="5" t="s">
        <v>10526</v>
      </c>
      <c r="J4416" s="12" t="str">
        <f>HYPERLINK("https://www.boe.es/gazeta/dias/1804/04/24/pdfs/GMD-1804-33.pdf#page=9","Abrir facsímil")</f>
        <v>Abrir facsímil</v>
      </c>
      <c r="K4416" s="15" t="s">
        <v>22</v>
      </c>
    </row>
    <row r="4417" spans="1:11" ht="42" customHeight="1">
      <c r="A4417" s="4" t="s">
        <v>10527</v>
      </c>
      <c r="B4417" s="5" t="s">
        <v>10528</v>
      </c>
      <c r="C4417" s="5" t="s">
        <v>27</v>
      </c>
      <c r="D4417" s="5" t="s">
        <v>28</v>
      </c>
      <c r="E4417" s="5" t="s">
        <v>490</v>
      </c>
      <c r="F4417" s="9">
        <v>100</v>
      </c>
      <c r="G4417" s="9">
        <v>1109</v>
      </c>
      <c r="H4417" s="5" t="s">
        <v>20</v>
      </c>
      <c r="I4417" s="5" t="s">
        <v>10529</v>
      </c>
      <c r="J4417" s="12" t="str">
        <f>HYPERLINK("https://www.boe.es/gazeta/dias/1804/12/14/pdfs/GMD-1804-100.pdf#page=1","Abrir facsímil")</f>
        <v>Abrir facsímil</v>
      </c>
      <c r="K4417" s="15" t="s">
        <v>22</v>
      </c>
    </row>
    <row r="4418" spans="1:11" ht="42" customHeight="1">
      <c r="A4418" s="4" t="s">
        <v>10530</v>
      </c>
      <c r="B4418" s="5" t="s">
        <v>10530</v>
      </c>
      <c r="C4418" s="5" t="s">
        <v>17</v>
      </c>
      <c r="D4418" s="5" t="s">
        <v>18</v>
      </c>
      <c r="E4418" s="5" t="s">
        <v>736</v>
      </c>
      <c r="F4418" s="9">
        <v>83</v>
      </c>
      <c r="G4418" s="9">
        <v>921</v>
      </c>
      <c r="H4418" s="5" t="s">
        <v>20</v>
      </c>
      <c r="I4418" s="5" t="s">
        <v>10531</v>
      </c>
      <c r="J4418" s="12" t="str">
        <f>HYPERLINK("https://www.boe.es/gazeta/dias/1804/10/16/pdfs/GMD-1804-83.pdf#page=11","Abrir facsímil")</f>
        <v>Abrir facsímil</v>
      </c>
      <c r="K4418" s="15" t="s">
        <v>22</v>
      </c>
    </row>
    <row r="4419" spans="1:11" ht="42" customHeight="1">
      <c r="A4419" s="4" t="s">
        <v>10532</v>
      </c>
      <c r="B4419" s="5" t="s">
        <v>10533</v>
      </c>
      <c r="C4419" s="5" t="s">
        <v>17</v>
      </c>
      <c r="D4419" s="5" t="s">
        <v>18</v>
      </c>
      <c r="E4419" s="5" t="s">
        <v>199</v>
      </c>
      <c r="F4419" s="9">
        <v>46</v>
      </c>
      <c r="G4419" s="9">
        <v>513</v>
      </c>
      <c r="H4419" s="5" t="s">
        <v>20</v>
      </c>
      <c r="I4419" s="5" t="s">
        <v>10534</v>
      </c>
      <c r="J4419" s="12" t="str">
        <f>HYPERLINK("https://www.boe.es/gazeta/dias/1804/06/08/pdfs/GMD-1804-46.pdf#page=11","Abrir facsímil")</f>
        <v>Abrir facsímil</v>
      </c>
      <c r="K4419" s="15" t="s">
        <v>22</v>
      </c>
    </row>
    <row r="4420" spans="1:11" ht="42" customHeight="1">
      <c r="A4420" s="4" t="s">
        <v>10532</v>
      </c>
      <c r="B4420" s="5" t="s">
        <v>10533</v>
      </c>
      <c r="C4420" s="5" t="s">
        <v>198</v>
      </c>
      <c r="D4420" s="5" t="s">
        <v>66</v>
      </c>
      <c r="E4420" s="5" t="s">
        <v>317</v>
      </c>
      <c r="F4420" s="9">
        <v>56</v>
      </c>
      <c r="G4420" s="9">
        <v>620</v>
      </c>
      <c r="H4420" s="5" t="s">
        <v>20</v>
      </c>
      <c r="I4420" s="5" t="s">
        <v>10535</v>
      </c>
      <c r="J4420" s="12" t="str">
        <f>HYPERLINK("https://www.boe.es/gazeta/dias/1804/07/13/pdfs/GMD-1804-56.pdf#page=6","Abrir facsímil")</f>
        <v>Abrir facsímil</v>
      </c>
      <c r="K4420" s="15" t="s">
        <v>22</v>
      </c>
    </row>
    <row r="4421" spans="1:11" ht="42" customHeight="1">
      <c r="A4421" s="4" t="s">
        <v>10532</v>
      </c>
      <c r="B4421" s="5" t="s">
        <v>10533</v>
      </c>
      <c r="C4421" s="5" t="s">
        <v>17</v>
      </c>
      <c r="D4421" s="5" t="s">
        <v>18</v>
      </c>
      <c r="E4421" s="5" t="s">
        <v>50</v>
      </c>
      <c r="F4421" s="9">
        <v>93</v>
      </c>
      <c r="G4421" s="9">
        <v>1031</v>
      </c>
      <c r="H4421" s="5" t="s">
        <v>20</v>
      </c>
      <c r="I4421" s="5" t="s">
        <v>10536</v>
      </c>
      <c r="J4421" s="12" t="str">
        <f>HYPERLINK("https://www.boe.es/gazeta/dias/1804/11/20/pdfs/GMD-1804-93.pdf#page=7","Abrir facsímil")</f>
        <v>Abrir facsímil</v>
      </c>
      <c r="K4421" s="15" t="s">
        <v>22</v>
      </c>
    </row>
    <row r="4422" spans="1:11" ht="42" customHeight="1">
      <c r="A4422" s="4" t="s">
        <v>10537</v>
      </c>
      <c r="B4422" s="5" t="s">
        <v>10537</v>
      </c>
      <c r="C4422" s="5" t="s">
        <v>17</v>
      </c>
      <c r="D4422" s="5" t="s">
        <v>18</v>
      </c>
      <c r="E4422" s="5" t="s">
        <v>143</v>
      </c>
      <c r="F4422" s="9">
        <v>87</v>
      </c>
      <c r="G4422" s="9">
        <v>965</v>
      </c>
      <c r="H4422" s="5" t="s">
        <v>20</v>
      </c>
      <c r="I4422" s="5" t="s">
        <v>10538</v>
      </c>
      <c r="J4422" s="12" t="str">
        <f>HYPERLINK("https://www.boe.es/gazeta/dias/1804/10/30/pdfs/GMD-1804-87.pdf#page=9","Abrir facsímil")</f>
        <v>Abrir facsímil</v>
      </c>
      <c r="K4422" s="15" t="s">
        <v>22</v>
      </c>
    </row>
    <row r="4423" spans="1:11" ht="42" customHeight="1">
      <c r="A4423" s="4" t="s">
        <v>10539</v>
      </c>
      <c r="B4423" s="5" t="s">
        <v>10540</v>
      </c>
      <c r="C4423" s="5" t="s">
        <v>27</v>
      </c>
      <c r="D4423" s="5" t="s">
        <v>28</v>
      </c>
      <c r="E4423" s="5" t="s">
        <v>484</v>
      </c>
      <c r="F4423" s="9">
        <v>53</v>
      </c>
      <c r="G4423" s="9">
        <v>591</v>
      </c>
      <c r="H4423" s="5" t="s">
        <v>20</v>
      </c>
      <c r="I4423" s="5" t="s">
        <v>10541</v>
      </c>
      <c r="J4423" s="12" t="str">
        <f>HYPERLINK("https://www.boe.es/gazeta/dias/1804/07/03/pdfs/GMD-1804-53.pdf#page=9","Abrir facsímil")</f>
        <v>Abrir facsímil</v>
      </c>
      <c r="K4423" s="15" t="s">
        <v>22</v>
      </c>
    </row>
    <row r="4424" spans="1:11" ht="42" customHeight="1">
      <c r="A4424" s="4" t="s">
        <v>10542</v>
      </c>
      <c r="B4424" s="5" t="s">
        <v>10542</v>
      </c>
      <c r="C4424" s="5" t="s">
        <v>27</v>
      </c>
      <c r="D4424" s="5" t="s">
        <v>28</v>
      </c>
      <c r="E4424" s="5" t="s">
        <v>378</v>
      </c>
      <c r="F4424" s="9">
        <v>65</v>
      </c>
      <c r="G4424" s="9">
        <v>730</v>
      </c>
      <c r="H4424" s="5" t="s">
        <v>20</v>
      </c>
      <c r="I4424" s="5" t="s">
        <v>10543</v>
      </c>
      <c r="J4424" s="12" t="str">
        <f>HYPERLINK("https://www.boe.es/gazeta/dias/1804/08/14/pdfs/GMD-1804-65.pdf#page=8","Abrir facsímil")</f>
        <v>Abrir facsímil</v>
      </c>
      <c r="K4424" s="15" t="s">
        <v>22</v>
      </c>
    </row>
    <row r="4425" spans="1:11" ht="42" customHeight="1">
      <c r="A4425" s="4" t="s">
        <v>10544</v>
      </c>
      <c r="B4425" s="5" t="s">
        <v>10545</v>
      </c>
      <c r="C4425" s="5" t="s">
        <v>65</v>
      </c>
      <c r="D4425" s="5" t="s">
        <v>66</v>
      </c>
      <c r="E4425" s="5" t="s">
        <v>466</v>
      </c>
      <c r="F4425" s="9">
        <v>76</v>
      </c>
      <c r="G4425" s="9">
        <v>847</v>
      </c>
      <c r="H4425" s="5" t="s">
        <v>20</v>
      </c>
      <c r="I4425" s="5" t="s">
        <v>10546</v>
      </c>
      <c r="J4425" s="12" t="str">
        <f>HYPERLINK("https://www.boe.es/gazeta/dias/1804/09/21/pdfs/GMD-1804-76.pdf#page=5","Abrir facsímil")</f>
        <v>Abrir facsímil</v>
      </c>
      <c r="K4425" s="15" t="s">
        <v>22</v>
      </c>
    </row>
    <row r="4426" spans="1:11" ht="42" customHeight="1">
      <c r="A4426" s="4" t="s">
        <v>10547</v>
      </c>
      <c r="B4426" s="5" t="s">
        <v>10548</v>
      </c>
      <c r="C4426" s="5" t="s">
        <v>27</v>
      </c>
      <c r="D4426" s="5" t="s">
        <v>28</v>
      </c>
      <c r="E4426" s="5" t="s">
        <v>216</v>
      </c>
      <c r="F4426" s="9">
        <v>67</v>
      </c>
      <c r="G4426" s="9">
        <v>751</v>
      </c>
      <c r="H4426" s="5" t="s">
        <v>20</v>
      </c>
      <c r="I4426" s="5" t="s">
        <v>10549</v>
      </c>
      <c r="J4426" s="12" t="str">
        <f>HYPERLINK("https://www.boe.es/gazeta/dias/1804/08/21/pdfs/GMD-1804-67.pdf#page=9","Abrir facsímil")</f>
        <v>Abrir facsímil</v>
      </c>
      <c r="K4426" s="15" t="s">
        <v>22</v>
      </c>
    </row>
    <row r="4427" spans="1:11" ht="42" customHeight="1">
      <c r="A4427" s="4" t="s">
        <v>10550</v>
      </c>
      <c r="B4427" s="5" t="s">
        <v>10551</v>
      </c>
      <c r="C4427" s="5" t="s">
        <v>27</v>
      </c>
      <c r="D4427" s="5" t="s">
        <v>28</v>
      </c>
      <c r="E4427" s="5" t="s">
        <v>709</v>
      </c>
      <c r="F4427" s="9">
        <v>82</v>
      </c>
      <c r="G4427" s="9">
        <v>907</v>
      </c>
      <c r="H4427" s="5" t="s">
        <v>20</v>
      </c>
      <c r="I4427" s="5" t="s">
        <v>10552</v>
      </c>
      <c r="J4427" s="12" t="str">
        <f>HYPERLINK("https://www.boe.es/gazeta/dias/1804/10/12/pdfs/GMD-1804-82.pdf#page=9","Abrir facsímil")</f>
        <v>Abrir facsímil</v>
      </c>
      <c r="K4427" s="15" t="s">
        <v>22</v>
      </c>
    </row>
    <row r="4428" spans="1:11" ht="42" customHeight="1">
      <c r="A4428" s="4" t="s">
        <v>10553</v>
      </c>
      <c r="B4428" s="5" t="s">
        <v>10554</v>
      </c>
      <c r="C4428" s="5" t="s">
        <v>198</v>
      </c>
      <c r="D4428" s="5" t="s">
        <v>66</v>
      </c>
      <c r="E4428" s="5" t="s">
        <v>37</v>
      </c>
      <c r="F4428" s="9">
        <v>29</v>
      </c>
      <c r="G4428" s="9">
        <v>321</v>
      </c>
      <c r="H4428" s="5" t="s">
        <v>20</v>
      </c>
      <c r="I4428" s="5" t="s">
        <v>10555</v>
      </c>
      <c r="J4428" s="12" t="str">
        <f>HYPERLINK("https://www.boe.es/gazeta/dias/1804/04/10/pdfs/GMD-1804-29.pdf#page=11","Abrir facsímil")</f>
        <v>Abrir facsímil</v>
      </c>
      <c r="K4428" s="15" t="s">
        <v>22</v>
      </c>
    </row>
    <row r="4429" spans="1:11" ht="42" customHeight="1">
      <c r="A4429" s="4" t="s">
        <v>10556</v>
      </c>
      <c r="B4429" s="5" t="s">
        <v>10557</v>
      </c>
      <c r="C4429" s="5" t="s">
        <v>17</v>
      </c>
      <c r="D4429" s="5" t="s">
        <v>18</v>
      </c>
      <c r="E4429" s="5" t="s">
        <v>367</v>
      </c>
      <c r="F4429" s="9">
        <v>64</v>
      </c>
      <c r="G4429" s="9">
        <v>715</v>
      </c>
      <c r="H4429" s="5" t="s">
        <v>20</v>
      </c>
      <c r="I4429" s="5" t="s">
        <v>10558</v>
      </c>
      <c r="J4429" s="12" t="str">
        <f>HYPERLINK("https://www.boe.es/gazeta/dias/1804/08/10/pdfs/GMD-1804-64.pdf#page=9","Abrir facsímil")</f>
        <v>Abrir facsímil</v>
      </c>
      <c r="K4429" s="15" t="s">
        <v>22</v>
      </c>
    </row>
    <row r="4430" spans="1:11" ht="42" customHeight="1">
      <c r="A4430" s="4" t="s">
        <v>10559</v>
      </c>
      <c r="B4430" s="5" t="s">
        <v>10560</v>
      </c>
      <c r="C4430" s="5" t="s">
        <v>27</v>
      </c>
      <c r="D4430" s="5" t="s">
        <v>28</v>
      </c>
      <c r="E4430" s="5" t="s">
        <v>172</v>
      </c>
      <c r="F4430" s="9">
        <v>38</v>
      </c>
      <c r="G4430" s="9">
        <v>424</v>
      </c>
      <c r="H4430" s="5" t="s">
        <v>20</v>
      </c>
      <c r="I4430" s="5" t="s">
        <v>10561</v>
      </c>
      <c r="J4430" s="12" t="str">
        <f>HYPERLINK("https://www.boe.es/gazeta/dias/1804/05/11/pdfs/GMD-1804-38.pdf#page=10","Abrir facsímil")</f>
        <v>Abrir facsímil</v>
      </c>
      <c r="K4430" s="15" t="s">
        <v>22</v>
      </c>
    </row>
    <row r="4431" spans="1:11" ht="42" customHeight="1">
      <c r="A4431" s="4" t="s">
        <v>10562</v>
      </c>
      <c r="B4431" s="5" t="s">
        <v>10563</v>
      </c>
      <c r="C4431" s="5" t="s">
        <v>65</v>
      </c>
      <c r="D4431" s="5" t="s">
        <v>66</v>
      </c>
      <c r="E4431" s="5" t="s">
        <v>484</v>
      </c>
      <c r="F4431" s="9">
        <v>53</v>
      </c>
      <c r="G4431" s="9">
        <v>590</v>
      </c>
      <c r="H4431" s="5" t="s">
        <v>20</v>
      </c>
      <c r="I4431" s="5" t="s">
        <v>10564</v>
      </c>
      <c r="J4431" s="12" t="str">
        <f>HYPERLINK("https://www.boe.es/gazeta/dias/1804/07/03/pdfs/GMD-1804-53.pdf#page=8","Abrir facsímil")</f>
        <v>Abrir facsímil</v>
      </c>
      <c r="K4431" s="15" t="s">
        <v>22</v>
      </c>
    </row>
    <row r="4432" spans="1:11" ht="42" customHeight="1">
      <c r="A4432" s="4" t="s">
        <v>10565</v>
      </c>
      <c r="B4432" s="5" t="s">
        <v>10566</v>
      </c>
      <c r="C4432" s="5" t="s">
        <v>65</v>
      </c>
      <c r="D4432" s="5" t="s">
        <v>66</v>
      </c>
      <c r="E4432" s="5" t="s">
        <v>208</v>
      </c>
      <c r="F4432" s="9">
        <v>97</v>
      </c>
      <c r="G4432" s="9">
        <v>1081</v>
      </c>
      <c r="H4432" s="5" t="s">
        <v>20</v>
      </c>
      <c r="I4432" s="5" t="s">
        <v>10567</v>
      </c>
      <c r="J4432" s="12" t="str">
        <f>HYPERLINK("https://www.boe.es/gazeta/dias/1804/12/04/pdfs/GMD-1804-97.pdf#page=9","Abrir facsímil")</f>
        <v>Abrir facsímil</v>
      </c>
      <c r="K4432" s="15" t="s">
        <v>22</v>
      </c>
    </row>
    <row r="4433" spans="1:11" ht="42" customHeight="1">
      <c r="A4433" s="4" t="s">
        <v>10568</v>
      </c>
      <c r="B4433" s="5" t="s">
        <v>10569</v>
      </c>
      <c r="C4433" s="5" t="s">
        <v>27</v>
      </c>
      <c r="D4433" s="5" t="s">
        <v>28</v>
      </c>
      <c r="E4433" s="5" t="s">
        <v>736</v>
      </c>
      <c r="F4433" s="9">
        <v>83</v>
      </c>
      <c r="G4433" s="9">
        <v>919</v>
      </c>
      <c r="H4433" s="5" t="s">
        <v>20</v>
      </c>
      <c r="I4433" s="5" t="s">
        <v>10570</v>
      </c>
      <c r="J4433" s="12" t="str">
        <f>HYPERLINK("https://www.boe.es/gazeta/dias/1804/10/16/pdfs/GMD-1804-83.pdf#page=9","Abrir facsímil")</f>
        <v>Abrir facsímil</v>
      </c>
      <c r="K4433" s="15" t="s">
        <v>22</v>
      </c>
    </row>
    <row r="4434" spans="1:11" ht="42" customHeight="1">
      <c r="A4434" s="4" t="s">
        <v>10571</v>
      </c>
      <c r="B4434" s="5" t="s">
        <v>10572</v>
      </c>
      <c r="C4434" s="5" t="s">
        <v>65</v>
      </c>
      <c r="D4434" s="5" t="s">
        <v>66</v>
      </c>
      <c r="E4434" s="5" t="s">
        <v>97</v>
      </c>
      <c r="F4434" s="9">
        <v>50</v>
      </c>
      <c r="G4434" s="9">
        <v>552</v>
      </c>
      <c r="H4434" s="5" t="s">
        <v>20</v>
      </c>
      <c r="I4434" s="5" t="s">
        <v>10573</v>
      </c>
      <c r="J4434" s="12" t="str">
        <f>HYPERLINK("https://www.boe.es/gazeta/dias/1804/06/22/pdfs/GMD-1804-50.pdf#page=6","Abrir facsímil")</f>
        <v>Abrir facsímil</v>
      </c>
      <c r="K4434" s="15" t="s">
        <v>22</v>
      </c>
    </row>
    <row r="4435" spans="1:11" ht="42" customHeight="1">
      <c r="A4435" s="4" t="s">
        <v>10574</v>
      </c>
      <c r="B4435" s="5" t="s">
        <v>10574</v>
      </c>
      <c r="C4435" s="5" t="s">
        <v>57</v>
      </c>
      <c r="D4435" s="5" t="s">
        <v>58</v>
      </c>
      <c r="E4435" s="5" t="s">
        <v>576</v>
      </c>
      <c r="F4435" s="9">
        <v>85</v>
      </c>
      <c r="G4435" s="9">
        <v>937</v>
      </c>
      <c r="H4435" s="5" t="s">
        <v>20</v>
      </c>
      <c r="I4435" s="5" t="s">
        <v>10575</v>
      </c>
      <c r="J4435" s="12" t="str">
        <f>HYPERLINK("https://www.boe.es/gazeta/dias/1804/10/23/pdfs/GMD-1804-85.pdf#page=7","Abrir facsímil")</f>
        <v>Abrir facsímil</v>
      </c>
      <c r="K4435" s="15" t="s">
        <v>22</v>
      </c>
    </row>
    <row r="4436" spans="1:11" ht="42" customHeight="1">
      <c r="A4436" s="4" t="s">
        <v>10576</v>
      </c>
      <c r="B4436" s="5" t="s">
        <v>10577</v>
      </c>
      <c r="C4436" s="5" t="s">
        <v>27</v>
      </c>
      <c r="D4436" s="5" t="s">
        <v>28</v>
      </c>
      <c r="E4436" s="5" t="s">
        <v>37</v>
      </c>
      <c r="F4436" s="9">
        <v>29</v>
      </c>
      <c r="G4436" s="9">
        <v>320</v>
      </c>
      <c r="H4436" s="5" t="s">
        <v>20</v>
      </c>
      <c r="I4436" s="5" t="s">
        <v>10578</v>
      </c>
      <c r="J4436" s="12" t="str">
        <f>HYPERLINK("https://www.boe.es/gazeta/dias/1804/04/10/pdfs/GMD-1804-29.pdf#page=10","Abrir facsímil")</f>
        <v>Abrir facsímil</v>
      </c>
      <c r="K4436" s="15" t="s">
        <v>22</v>
      </c>
    </row>
    <row r="4437" spans="1:11" ht="42" customHeight="1">
      <c r="A4437" s="4" t="s">
        <v>10579</v>
      </c>
      <c r="B4437" s="5" t="s">
        <v>10580</v>
      </c>
      <c r="C4437" s="5" t="s">
        <v>27</v>
      </c>
      <c r="D4437" s="5" t="s">
        <v>28</v>
      </c>
      <c r="E4437" s="5" t="s">
        <v>91</v>
      </c>
      <c r="F4437" s="9">
        <v>72</v>
      </c>
      <c r="G4437" s="9">
        <v>806</v>
      </c>
      <c r="H4437" s="5" t="s">
        <v>20</v>
      </c>
      <c r="I4437" s="5" t="s">
        <v>10581</v>
      </c>
      <c r="J4437" s="12" t="str">
        <f>HYPERLINK("https://www.boe.es/gazeta/dias/1804/09/07/pdfs/GMD-1804-72.pdf#page=8","Abrir facsímil")</f>
        <v>Abrir facsímil</v>
      </c>
      <c r="K4437" s="15" t="s">
        <v>22</v>
      </c>
    </row>
    <row r="4438" spans="1:11" ht="42" customHeight="1">
      <c r="A4438" s="4" t="s">
        <v>10582</v>
      </c>
      <c r="B4438" s="5" t="s">
        <v>10583</v>
      </c>
      <c r="C4438" s="5" t="s">
        <v>17</v>
      </c>
      <c r="D4438" s="5" t="s">
        <v>18</v>
      </c>
      <c r="E4438" s="5" t="s">
        <v>245</v>
      </c>
      <c r="F4438" s="9">
        <v>6</v>
      </c>
      <c r="G4438" s="9">
        <v>58</v>
      </c>
      <c r="H4438" s="5" t="s">
        <v>20</v>
      </c>
      <c r="I4438" s="5" t="s">
        <v>10584</v>
      </c>
      <c r="J4438" s="12" t="str">
        <f>HYPERLINK("https://www.boe.es/gazeta/dias/1804/01/20/pdfs/GMD-1804-6.pdf#page=10","Abrir facsímil")</f>
        <v>Abrir facsímil</v>
      </c>
      <c r="K4438" s="15" t="s">
        <v>22</v>
      </c>
    </row>
    <row r="4439" spans="1:11" ht="42" customHeight="1">
      <c r="A4439" s="4" t="s">
        <v>10585</v>
      </c>
      <c r="B4439" s="5" t="s">
        <v>10586</v>
      </c>
      <c r="C4439" s="5" t="s">
        <v>27</v>
      </c>
      <c r="D4439" s="5" t="s">
        <v>28</v>
      </c>
      <c r="E4439" s="5" t="s">
        <v>91</v>
      </c>
      <c r="F4439" s="9">
        <v>72</v>
      </c>
      <c r="G4439" s="9">
        <v>806</v>
      </c>
      <c r="H4439" s="5" t="s">
        <v>20</v>
      </c>
      <c r="I4439" s="5" t="s">
        <v>10587</v>
      </c>
      <c r="J4439" s="12" t="str">
        <f>HYPERLINK("https://www.boe.es/gazeta/dias/1804/09/07/pdfs/GMD-1804-72.pdf#page=8","Abrir facsímil")</f>
        <v>Abrir facsímil</v>
      </c>
      <c r="K4439" s="15" t="s">
        <v>22</v>
      </c>
    </row>
    <row r="4440" spans="1:11" ht="42" customHeight="1">
      <c r="A4440" s="4" t="s">
        <v>10588</v>
      </c>
      <c r="B4440" s="5" t="s">
        <v>10589</v>
      </c>
      <c r="C4440" s="5" t="s">
        <v>27</v>
      </c>
      <c r="D4440" s="5" t="s">
        <v>28</v>
      </c>
      <c r="E4440" s="5" t="s">
        <v>857</v>
      </c>
      <c r="F4440" s="9">
        <v>28</v>
      </c>
      <c r="G4440" s="9">
        <v>308</v>
      </c>
      <c r="H4440" s="5" t="s">
        <v>20</v>
      </c>
      <c r="I4440" s="5" t="s">
        <v>10590</v>
      </c>
      <c r="J4440" s="12" t="str">
        <f>HYPERLINK("https://www.boe.es/gazeta/dias/1804/04/06/pdfs/GMD-1804-28.pdf#page=6","Abrir facsímil")</f>
        <v>Abrir facsímil</v>
      </c>
      <c r="K4440" s="15" t="s">
        <v>22</v>
      </c>
    </row>
    <row r="4441" spans="1:11" ht="42" customHeight="1">
      <c r="A4441" s="4" t="s">
        <v>10591</v>
      </c>
      <c r="B4441" s="5" t="s">
        <v>10592</v>
      </c>
      <c r="C4441" s="5" t="s">
        <v>65</v>
      </c>
      <c r="D4441" s="5" t="s">
        <v>66</v>
      </c>
      <c r="E4441" s="5" t="s">
        <v>484</v>
      </c>
      <c r="F4441" s="9">
        <v>53</v>
      </c>
      <c r="G4441" s="9">
        <v>590</v>
      </c>
      <c r="H4441" s="5" t="s">
        <v>20</v>
      </c>
      <c r="I4441" s="5" t="s">
        <v>10593</v>
      </c>
      <c r="J4441" s="12" t="str">
        <f>HYPERLINK("https://www.boe.es/gazeta/dias/1804/07/03/pdfs/GMD-1804-53.pdf#page=8","Abrir facsímil")</f>
        <v>Abrir facsímil</v>
      </c>
      <c r="K4441" s="15" t="s">
        <v>22</v>
      </c>
    </row>
    <row r="4442" spans="1:11" ht="42" customHeight="1">
      <c r="A4442" s="4" t="s">
        <v>10594</v>
      </c>
      <c r="B4442" s="5" t="s">
        <v>10595</v>
      </c>
      <c r="C4442" s="5" t="s">
        <v>17</v>
      </c>
      <c r="D4442" s="5" t="s">
        <v>18</v>
      </c>
      <c r="E4442" s="5" t="s">
        <v>71</v>
      </c>
      <c r="F4442" s="9">
        <v>99</v>
      </c>
      <c r="G4442" s="9">
        <v>1107</v>
      </c>
      <c r="H4442" s="5" t="s">
        <v>20</v>
      </c>
      <c r="I4442" s="5" t="s">
        <v>10596</v>
      </c>
      <c r="J4442" s="12" t="str">
        <f>HYPERLINK("https://www.boe.es/gazeta/dias/1804/12/11/pdfs/GMD-1804-99.pdf#page=7","Abrir facsímil")</f>
        <v>Abrir facsímil</v>
      </c>
      <c r="K4442" s="15" t="s">
        <v>22</v>
      </c>
    </row>
    <row r="4443" spans="1:11" ht="42" customHeight="1">
      <c r="A4443" s="4" t="s">
        <v>10597</v>
      </c>
      <c r="B4443" s="5" t="s">
        <v>10598</v>
      </c>
      <c r="C4443" s="5" t="s">
        <v>27</v>
      </c>
      <c r="D4443" s="5" t="s">
        <v>28</v>
      </c>
      <c r="E4443" s="5" t="s">
        <v>466</v>
      </c>
      <c r="F4443" s="9">
        <v>76</v>
      </c>
      <c r="G4443" s="9">
        <v>847</v>
      </c>
      <c r="H4443" s="5" t="s">
        <v>20</v>
      </c>
      <c r="I4443" s="5" t="s">
        <v>10599</v>
      </c>
      <c r="J4443" s="12" t="str">
        <f>HYPERLINK("https://www.boe.es/gazeta/dias/1804/09/21/pdfs/GMD-1804-76.pdf#page=5","Abrir facsímil")</f>
        <v>Abrir facsímil</v>
      </c>
      <c r="K4443" s="15" t="s">
        <v>22</v>
      </c>
    </row>
    <row r="4444" spans="1:11" ht="42" customHeight="1">
      <c r="A4444" s="4" t="s">
        <v>10600</v>
      </c>
      <c r="B4444" s="5" t="s">
        <v>10600</v>
      </c>
      <c r="C4444" s="5" t="s">
        <v>27</v>
      </c>
      <c r="D4444" s="5" t="s">
        <v>28</v>
      </c>
      <c r="E4444" s="5" t="s">
        <v>97</v>
      </c>
      <c r="F4444" s="9">
        <v>50</v>
      </c>
      <c r="G4444" s="9">
        <v>553</v>
      </c>
      <c r="H4444" s="5" t="s">
        <v>20</v>
      </c>
      <c r="I4444" s="5" t="s">
        <v>10601</v>
      </c>
      <c r="J4444" s="12" t="str">
        <f>HYPERLINK("https://www.boe.es/gazeta/dias/1804/06/22/pdfs/GMD-1804-50.pdf#page=7","Abrir facsímil")</f>
        <v>Abrir facsímil</v>
      </c>
      <c r="K4444" s="15" t="s">
        <v>22</v>
      </c>
    </row>
    <row r="4445" spans="1:11" ht="42" customHeight="1">
      <c r="A4445" s="4" t="s">
        <v>10602</v>
      </c>
      <c r="B4445" s="5" t="s">
        <v>10602</v>
      </c>
      <c r="C4445" s="5" t="s">
        <v>27</v>
      </c>
      <c r="D4445" s="5" t="s">
        <v>28</v>
      </c>
      <c r="E4445" s="5" t="s">
        <v>453</v>
      </c>
      <c r="F4445" s="9">
        <v>33</v>
      </c>
      <c r="G4445" s="9">
        <v>366</v>
      </c>
      <c r="H4445" s="5" t="s">
        <v>20</v>
      </c>
      <c r="I4445" s="5" t="s">
        <v>10603</v>
      </c>
      <c r="J4445" s="12" t="str">
        <f>HYPERLINK("https://www.boe.es/gazeta/dias/1804/04/24/pdfs/GMD-1804-33.pdf#page=8","Abrir facsímil")</f>
        <v>Abrir facsímil</v>
      </c>
      <c r="K4445" s="15" t="s">
        <v>22</v>
      </c>
    </row>
    <row r="4446" spans="1:11" ht="42" customHeight="1">
      <c r="A4446" s="4" t="s">
        <v>10604</v>
      </c>
      <c r="B4446" s="5" t="s">
        <v>10604</v>
      </c>
      <c r="C4446" s="5" t="s">
        <v>17</v>
      </c>
      <c r="D4446" s="5" t="s">
        <v>18</v>
      </c>
      <c r="E4446" s="5" t="s">
        <v>147</v>
      </c>
      <c r="F4446" s="9">
        <v>77</v>
      </c>
      <c r="G4446" s="9">
        <v>859</v>
      </c>
      <c r="H4446" s="5" t="s">
        <v>20</v>
      </c>
      <c r="I4446" s="5" t="s">
        <v>10605</v>
      </c>
      <c r="J4446" s="12" t="str">
        <f>HYPERLINK("https://www.boe.es/gazeta/dias/1804/09/25/pdfs/GMD-1804-77.pdf#page=9","Abrir facsímil")</f>
        <v>Abrir facsímil</v>
      </c>
      <c r="K4446" s="15" t="s">
        <v>22</v>
      </c>
    </row>
    <row r="4447" spans="1:11" ht="42" customHeight="1">
      <c r="A4447" s="4" t="s">
        <v>10606</v>
      </c>
      <c r="B4447" s="5" t="s">
        <v>10607</v>
      </c>
      <c r="C4447" s="5" t="s">
        <v>17</v>
      </c>
      <c r="D4447" s="5" t="s">
        <v>18</v>
      </c>
      <c r="E4447" s="5" t="s">
        <v>421</v>
      </c>
      <c r="F4447" s="9">
        <v>47</v>
      </c>
      <c r="G4447" s="9">
        <v>528</v>
      </c>
      <c r="H4447" s="5" t="s">
        <v>20</v>
      </c>
      <c r="I4447" s="5" t="s">
        <v>10608</v>
      </c>
      <c r="J4447" s="12" t="str">
        <f>HYPERLINK("https://www.boe.es/gazeta/dias/1804/06/12/pdfs/GMD-1804-47.pdf#page=10","Abrir facsímil")</f>
        <v>Abrir facsímil</v>
      </c>
      <c r="K4447" s="15" t="s">
        <v>22</v>
      </c>
    </row>
    <row r="4448" spans="1:11" ht="42" customHeight="1">
      <c r="A4448" s="4" t="s">
        <v>10609</v>
      </c>
      <c r="B4448" s="5" t="s">
        <v>10610</v>
      </c>
      <c r="C4448" s="5" t="s">
        <v>17</v>
      </c>
      <c r="D4448" s="5" t="s">
        <v>18</v>
      </c>
      <c r="E4448" s="5" t="s">
        <v>272</v>
      </c>
      <c r="F4448" s="9">
        <v>30</v>
      </c>
      <c r="G4448" s="9">
        <v>332</v>
      </c>
      <c r="H4448" s="5" t="s">
        <v>20</v>
      </c>
      <c r="I4448" s="5" t="s">
        <v>10611</v>
      </c>
      <c r="J4448" s="12" t="str">
        <f>HYPERLINK("https://www.boe.es/gazeta/dias/1804/04/13/pdfs/GMD-1804-30.pdf#page=10","Abrir facsímil")</f>
        <v>Abrir facsímil</v>
      </c>
      <c r="K4448" s="15" t="s">
        <v>22</v>
      </c>
    </row>
    <row r="4449" spans="1:11" ht="42" customHeight="1">
      <c r="A4449" s="4" t="s">
        <v>10612</v>
      </c>
      <c r="B4449" s="5" t="s">
        <v>10613</v>
      </c>
      <c r="C4449" s="5" t="s">
        <v>198</v>
      </c>
      <c r="D4449" s="5" t="s">
        <v>66</v>
      </c>
      <c r="E4449" s="5" t="s">
        <v>670</v>
      </c>
      <c r="F4449" s="9">
        <v>41</v>
      </c>
      <c r="G4449" s="9">
        <v>458</v>
      </c>
      <c r="H4449" s="5" t="s">
        <v>20</v>
      </c>
      <c r="I4449" s="5" t="s">
        <v>10614</v>
      </c>
      <c r="J4449" s="12" t="str">
        <f>HYPERLINK("https://www.boe.es/gazeta/dias/1804/05/22/pdfs/GMD-1804-41.pdf#page=8","Abrir facsímil")</f>
        <v>Abrir facsímil</v>
      </c>
      <c r="K4449" s="15" t="s">
        <v>22</v>
      </c>
    </row>
    <row r="4450" spans="1:11" ht="42" customHeight="1">
      <c r="A4450" s="4" t="s">
        <v>10615</v>
      </c>
      <c r="B4450" s="5" t="s">
        <v>10616</v>
      </c>
      <c r="C4450" s="5" t="s">
        <v>27</v>
      </c>
      <c r="D4450" s="5" t="s">
        <v>28</v>
      </c>
      <c r="E4450" s="5" t="s">
        <v>308</v>
      </c>
      <c r="F4450" s="9">
        <v>96</v>
      </c>
      <c r="G4450" s="9">
        <v>1068</v>
      </c>
      <c r="H4450" s="5" t="s">
        <v>20</v>
      </c>
      <c r="I4450" s="5" t="s">
        <v>10617</v>
      </c>
      <c r="J4450" s="12" t="str">
        <f>HYPERLINK("https://www.boe.es/gazeta/dias/1804/11/30/pdfs/GMD-1804-96.pdf#page=8","Abrir facsímil")</f>
        <v>Abrir facsímil</v>
      </c>
      <c r="K4450" s="15" t="s">
        <v>22</v>
      </c>
    </row>
    <row r="4451" spans="1:11" ht="42" customHeight="1">
      <c r="A4451" s="4" t="s">
        <v>10618</v>
      </c>
      <c r="B4451" s="5" t="s">
        <v>10619</v>
      </c>
      <c r="C4451" s="5" t="s">
        <v>27</v>
      </c>
      <c r="D4451" s="5" t="s">
        <v>28</v>
      </c>
      <c r="E4451" s="5" t="s">
        <v>264</v>
      </c>
      <c r="F4451" s="9">
        <v>49</v>
      </c>
      <c r="G4451" s="9">
        <v>544</v>
      </c>
      <c r="H4451" s="5" t="s">
        <v>20</v>
      </c>
      <c r="I4451" s="5" t="s">
        <v>10620</v>
      </c>
      <c r="J4451" s="12" t="str">
        <f>HYPERLINK("https://www.boe.es/gazeta/dias/1804/06/19/pdfs/GMD-1804-49.pdf#page=6","Abrir facsímil")</f>
        <v>Abrir facsímil</v>
      </c>
      <c r="K4451" s="15" t="s">
        <v>22</v>
      </c>
    </row>
    <row r="4452" spans="1:11" ht="42" customHeight="1">
      <c r="A4452" s="4" t="s">
        <v>10621</v>
      </c>
      <c r="B4452" s="5" t="s">
        <v>10621</v>
      </c>
      <c r="C4452" s="5" t="s">
        <v>85</v>
      </c>
      <c r="D4452" s="5" t="s">
        <v>86</v>
      </c>
      <c r="E4452" s="5" t="s">
        <v>320</v>
      </c>
      <c r="F4452" s="9">
        <v>31</v>
      </c>
      <c r="G4452" s="9">
        <v>345</v>
      </c>
      <c r="H4452" s="5" t="s">
        <v>20</v>
      </c>
      <c r="I4452" s="5" t="s">
        <v>10622</v>
      </c>
      <c r="J4452" s="12" t="str">
        <f>HYPERLINK("https://www.boe.es/gazeta/dias/1804/04/17/pdfs/GMD-1804-31.pdf#page=11","Abrir facsímil")</f>
        <v>Abrir facsímil</v>
      </c>
      <c r="K4452" s="15" t="s">
        <v>22</v>
      </c>
    </row>
    <row r="4453" spans="1:11" ht="42" customHeight="1">
      <c r="A4453" s="4" t="s">
        <v>10621</v>
      </c>
      <c r="B4453" s="5" t="s">
        <v>10621</v>
      </c>
      <c r="C4453" s="5" t="s">
        <v>85</v>
      </c>
      <c r="D4453" s="5" t="s">
        <v>86</v>
      </c>
      <c r="E4453" s="5" t="s">
        <v>132</v>
      </c>
      <c r="F4453" s="9">
        <v>52</v>
      </c>
      <c r="G4453" s="9">
        <v>577</v>
      </c>
      <c r="H4453" s="5" t="s">
        <v>20</v>
      </c>
      <c r="I4453" s="5" t="s">
        <v>10623</v>
      </c>
      <c r="J4453" s="12" t="str">
        <f>HYPERLINK("https://www.boe.es/gazeta/dias/1804/06/29/pdfs/GMD-1804-52.pdf#page=11","Abrir facsímil")</f>
        <v>Abrir facsímil</v>
      </c>
      <c r="K4453" s="15" t="s">
        <v>22</v>
      </c>
    </row>
    <row r="4454" spans="1:11" ht="42" customHeight="1">
      <c r="A4454" s="4" t="s">
        <v>10621</v>
      </c>
      <c r="B4454" s="5" t="s">
        <v>10621</v>
      </c>
      <c r="C4454" s="5" t="s">
        <v>85</v>
      </c>
      <c r="D4454" s="5" t="s">
        <v>86</v>
      </c>
      <c r="E4454" s="5" t="s">
        <v>326</v>
      </c>
      <c r="F4454" s="9">
        <v>69</v>
      </c>
      <c r="G4454" s="9">
        <v>778</v>
      </c>
      <c r="H4454" s="5" t="s">
        <v>20</v>
      </c>
      <c r="I4454" s="5" t="s">
        <v>10624</v>
      </c>
      <c r="J4454" s="12" t="str">
        <f>HYPERLINK("https://www.boe.es/gazeta/dias/1804/08/28/pdfs/GMD-1804-69.pdf#page=12","Abrir facsímil")</f>
        <v>Abrir facsímil</v>
      </c>
      <c r="K4454" s="15" t="s">
        <v>22</v>
      </c>
    </row>
    <row r="4455" spans="1:11" ht="42" customHeight="1">
      <c r="A4455" s="4" t="s">
        <v>10625</v>
      </c>
      <c r="B4455" s="5" t="s">
        <v>10625</v>
      </c>
      <c r="C4455" s="5" t="s">
        <v>27</v>
      </c>
      <c r="D4455" s="5" t="s">
        <v>28</v>
      </c>
      <c r="E4455" s="5" t="s">
        <v>143</v>
      </c>
      <c r="F4455" s="9">
        <v>87</v>
      </c>
      <c r="G4455" s="9">
        <v>963</v>
      </c>
      <c r="H4455" s="5" t="s">
        <v>20</v>
      </c>
      <c r="I4455" s="5" t="s">
        <v>10626</v>
      </c>
      <c r="J4455" s="12" t="str">
        <f>HYPERLINK("https://www.boe.es/gazeta/dias/1804/10/30/pdfs/GMD-1804-87.pdf#page=7","Abrir facsímil")</f>
        <v>Abrir facsímil</v>
      </c>
      <c r="K4455" s="15" t="s">
        <v>22</v>
      </c>
    </row>
    <row r="4456" spans="1:11" ht="42" customHeight="1">
      <c r="A4456" s="4" t="s">
        <v>10627</v>
      </c>
      <c r="B4456" s="5" t="s">
        <v>10627</v>
      </c>
      <c r="C4456" s="5" t="s">
        <v>65</v>
      </c>
      <c r="D4456" s="5" t="s">
        <v>66</v>
      </c>
      <c r="E4456" s="5" t="s">
        <v>317</v>
      </c>
      <c r="F4456" s="9">
        <v>56</v>
      </c>
      <c r="G4456" s="9">
        <v>621</v>
      </c>
      <c r="H4456" s="5" t="s">
        <v>20</v>
      </c>
      <c r="I4456" s="5" t="s">
        <v>10628</v>
      </c>
      <c r="J4456" s="12" t="str">
        <f>HYPERLINK("https://www.boe.es/gazeta/dias/1804/07/13/pdfs/GMD-1804-56.pdf#page=7","Abrir facsímil")</f>
        <v>Abrir facsímil</v>
      </c>
      <c r="K4456" s="15" t="s">
        <v>22</v>
      </c>
    </row>
    <row r="4457" spans="1:11" ht="42" customHeight="1">
      <c r="A4457" s="4" t="s">
        <v>10629</v>
      </c>
      <c r="B4457" s="5" t="s">
        <v>10630</v>
      </c>
      <c r="C4457" s="5" t="s">
        <v>120</v>
      </c>
      <c r="D4457" s="5" t="s">
        <v>121</v>
      </c>
      <c r="E4457" s="5" t="s">
        <v>33</v>
      </c>
      <c r="F4457" s="9">
        <v>48</v>
      </c>
      <c r="G4457" s="9" t="s">
        <v>122</v>
      </c>
      <c r="H4457" s="5" t="s">
        <v>20</v>
      </c>
      <c r="I4457" s="5" t="s">
        <v>10631</v>
      </c>
      <c r="J4457" s="12" t="str">
        <f>HYPERLINK("https://www.boe.es/gazeta/dias/1804/06/15/pdfs/GMD-C-1804-48.pdf#page=3","Abrir facsímil")</f>
        <v>Abrir facsímil</v>
      </c>
      <c r="K4457" s="15" t="s">
        <v>22</v>
      </c>
    </row>
    <row r="4458" spans="1:11" ht="42" customHeight="1">
      <c r="A4458" s="4" t="s">
        <v>10632</v>
      </c>
      <c r="B4458" s="5" t="s">
        <v>10632</v>
      </c>
      <c r="C4458" s="5" t="s">
        <v>17</v>
      </c>
      <c r="D4458" s="5" t="s">
        <v>18</v>
      </c>
      <c r="E4458" s="5" t="s">
        <v>71</v>
      </c>
      <c r="F4458" s="9">
        <v>99</v>
      </c>
      <c r="G4458" s="9">
        <v>1106</v>
      </c>
      <c r="H4458" s="5" t="s">
        <v>20</v>
      </c>
      <c r="I4458" s="5" t="s">
        <v>10633</v>
      </c>
      <c r="J4458" s="12" t="str">
        <f>HYPERLINK("https://www.boe.es/gazeta/dias/1804/12/11/pdfs/GMD-1804-99.pdf#page=6","Abrir facsímil")</f>
        <v>Abrir facsímil</v>
      </c>
      <c r="K4458" s="15" t="s">
        <v>22</v>
      </c>
    </row>
    <row r="4459" spans="1:11" ht="42" customHeight="1">
      <c r="A4459" s="4" t="s">
        <v>10634</v>
      </c>
      <c r="B4459" s="5" t="s">
        <v>10634</v>
      </c>
      <c r="C4459" s="5" t="s">
        <v>27</v>
      </c>
      <c r="D4459" s="5" t="s">
        <v>28</v>
      </c>
      <c r="E4459" s="5" t="s">
        <v>800</v>
      </c>
      <c r="F4459" s="9">
        <v>45</v>
      </c>
      <c r="G4459" s="9">
        <v>492</v>
      </c>
      <c r="H4459" s="5" t="s">
        <v>20</v>
      </c>
      <c r="I4459" s="5" t="s">
        <v>10635</v>
      </c>
      <c r="J4459" s="12" t="str">
        <f>HYPERLINK("https://www.boe.es/gazeta/dias/1804/06/05/pdfs/GMD-1804-45.pdf#page=2","Abrir facsímil")</f>
        <v>Abrir facsímil</v>
      </c>
      <c r="K4459" s="15" t="s">
        <v>22</v>
      </c>
    </row>
    <row r="4460" spans="1:11" ht="42" customHeight="1">
      <c r="A4460" s="4" t="s">
        <v>10636</v>
      </c>
      <c r="B4460" s="5" t="s">
        <v>10637</v>
      </c>
      <c r="C4460" s="5" t="s">
        <v>57</v>
      </c>
      <c r="D4460" s="5" t="s">
        <v>58</v>
      </c>
      <c r="E4460" s="5" t="s">
        <v>251</v>
      </c>
      <c r="F4460" s="9">
        <v>79</v>
      </c>
      <c r="G4460" s="9">
        <v>876</v>
      </c>
      <c r="H4460" s="5" t="s">
        <v>20</v>
      </c>
      <c r="I4460" s="5" t="s">
        <v>10638</v>
      </c>
      <c r="J4460" s="12" t="str">
        <f>HYPERLINK("https://www.boe.es/gazeta/dias/1804/10/02/pdfs/GMD-1804-79.pdf#page=6","Abrir facsímil")</f>
        <v>Abrir facsímil</v>
      </c>
      <c r="K4460" s="15" t="s">
        <v>22</v>
      </c>
    </row>
    <row r="4461" spans="1:11" ht="42" customHeight="1">
      <c r="A4461" s="4" t="s">
        <v>10639</v>
      </c>
      <c r="B4461" s="5" t="s">
        <v>10640</v>
      </c>
      <c r="C4461" s="5" t="s">
        <v>57</v>
      </c>
      <c r="D4461" s="5" t="s">
        <v>58</v>
      </c>
      <c r="E4461" s="5" t="s">
        <v>800</v>
      </c>
      <c r="F4461" s="9">
        <v>45</v>
      </c>
      <c r="G4461" s="9">
        <v>495</v>
      </c>
      <c r="H4461" s="5" t="s">
        <v>20</v>
      </c>
      <c r="I4461" s="5" t="s">
        <v>10641</v>
      </c>
      <c r="J4461" s="12" t="str">
        <f>HYPERLINK("https://www.boe.es/gazeta/dias/1804/06/05/pdfs/GMD-1804-45.pdf#page=5","Abrir facsímil")</f>
        <v>Abrir facsímil</v>
      </c>
      <c r="K4461" s="15" t="s">
        <v>22</v>
      </c>
    </row>
    <row r="4462" spans="1:11" ht="42" customHeight="1">
      <c r="A4462" s="4" t="s">
        <v>10642</v>
      </c>
      <c r="B4462" s="5" t="s">
        <v>10642</v>
      </c>
      <c r="C4462" s="5" t="s">
        <v>27</v>
      </c>
      <c r="D4462" s="5" t="s">
        <v>28</v>
      </c>
      <c r="E4462" s="5" t="s">
        <v>736</v>
      </c>
      <c r="F4462" s="9">
        <v>83</v>
      </c>
      <c r="G4462" s="9">
        <v>919</v>
      </c>
      <c r="H4462" s="5" t="s">
        <v>20</v>
      </c>
      <c r="I4462" s="5" t="s">
        <v>10643</v>
      </c>
      <c r="J4462" s="12" t="str">
        <f>HYPERLINK("https://www.boe.es/gazeta/dias/1804/10/16/pdfs/GMD-1804-83.pdf#page=9","Abrir facsímil")</f>
        <v>Abrir facsímil</v>
      </c>
      <c r="K4462" s="15" t="s">
        <v>22</v>
      </c>
    </row>
    <row r="4463" spans="1:11" ht="42" customHeight="1">
      <c r="A4463" s="4" t="s">
        <v>10644</v>
      </c>
      <c r="B4463" s="5" t="s">
        <v>10645</v>
      </c>
      <c r="C4463" s="5" t="s">
        <v>65</v>
      </c>
      <c r="D4463" s="5" t="s">
        <v>66</v>
      </c>
      <c r="E4463" s="5" t="s">
        <v>302</v>
      </c>
      <c r="F4463" s="9">
        <v>3</v>
      </c>
      <c r="G4463" s="9">
        <v>27</v>
      </c>
      <c r="H4463" s="5" t="s">
        <v>20</v>
      </c>
      <c r="I4463" s="5" t="s">
        <v>10646</v>
      </c>
      <c r="J4463" s="12" t="str">
        <f>HYPERLINK("https://www.boe.es/gazeta/dias/1804/01/10/pdfs/GMD-1804-3.pdf#page=7","Abrir facsímil")</f>
        <v>Abrir facsímil</v>
      </c>
      <c r="K4463" s="15" t="s">
        <v>22</v>
      </c>
    </row>
    <row r="4464" spans="1:11" ht="42" customHeight="1">
      <c r="A4464" s="4" t="s">
        <v>10647</v>
      </c>
      <c r="B4464" s="5" t="s">
        <v>10648</v>
      </c>
      <c r="C4464" s="5" t="s">
        <v>120</v>
      </c>
      <c r="D4464" s="5" t="s">
        <v>121</v>
      </c>
      <c r="E4464" s="5" t="s">
        <v>33</v>
      </c>
      <c r="F4464" s="9">
        <v>48</v>
      </c>
      <c r="G4464" s="9" t="s">
        <v>98</v>
      </c>
      <c r="H4464" s="5" t="s">
        <v>20</v>
      </c>
      <c r="I4464" s="5" t="s">
        <v>10649</v>
      </c>
      <c r="J4464" s="12" t="str">
        <f>HYPERLINK("https://www.boe.es/gazeta/dias/1804/06/15/pdfs/GMD-C-1804-48.pdf#page=1","Abrir facsímil")</f>
        <v>Abrir facsímil</v>
      </c>
      <c r="K4464" s="15" t="s">
        <v>22</v>
      </c>
    </row>
    <row r="4465" spans="1:11" ht="42" customHeight="1">
      <c r="A4465" s="4" t="s">
        <v>10650</v>
      </c>
      <c r="B4465" s="5" t="s">
        <v>10651</v>
      </c>
      <c r="C4465" s="5" t="s">
        <v>120</v>
      </c>
      <c r="D4465" s="5" t="s">
        <v>121</v>
      </c>
      <c r="E4465" s="5" t="s">
        <v>33</v>
      </c>
      <c r="F4465" s="9">
        <v>48</v>
      </c>
      <c r="G4465" s="9" t="s">
        <v>285</v>
      </c>
      <c r="H4465" s="5" t="s">
        <v>20</v>
      </c>
      <c r="I4465" s="5" t="s">
        <v>10652</v>
      </c>
      <c r="J4465" s="12" t="str">
        <f>HYPERLINK("https://www.boe.es/gazeta/dias/1804/06/15/pdfs/GMD-C-1804-48.pdf#page=2","Abrir facsímil")</f>
        <v>Abrir facsímil</v>
      </c>
      <c r="K4465" s="15" t="s">
        <v>22</v>
      </c>
    </row>
    <row r="4466" spans="1:11" ht="42" customHeight="1">
      <c r="A4466" s="4" t="s">
        <v>10653</v>
      </c>
      <c r="B4466" s="5" t="s">
        <v>10654</v>
      </c>
      <c r="C4466" s="5" t="s">
        <v>198</v>
      </c>
      <c r="D4466" s="5" t="s">
        <v>66</v>
      </c>
      <c r="E4466" s="5" t="s">
        <v>37</v>
      </c>
      <c r="F4466" s="9">
        <v>29</v>
      </c>
      <c r="G4466" s="9">
        <v>318</v>
      </c>
      <c r="H4466" s="5" t="s">
        <v>20</v>
      </c>
      <c r="I4466" s="5" t="s">
        <v>10655</v>
      </c>
      <c r="J4466" s="12" t="str">
        <f>HYPERLINK("https://www.boe.es/gazeta/dias/1804/04/10/pdfs/GMD-1804-29.pdf#page=8","Abrir facsímil")</f>
        <v>Abrir facsímil</v>
      </c>
      <c r="K4466" s="15" t="s">
        <v>22</v>
      </c>
    </row>
    <row r="4467" spans="1:11" ht="42" customHeight="1">
      <c r="A4467" s="4" t="s">
        <v>10653</v>
      </c>
      <c r="B4467" s="5" t="s">
        <v>10654</v>
      </c>
      <c r="C4467" s="5" t="s">
        <v>65</v>
      </c>
      <c r="D4467" s="5" t="s">
        <v>66</v>
      </c>
      <c r="E4467" s="5" t="s">
        <v>339</v>
      </c>
      <c r="F4467" s="9">
        <v>94</v>
      </c>
      <c r="G4467" s="9">
        <v>1038</v>
      </c>
      <c r="H4467" s="5" t="s">
        <v>20</v>
      </c>
      <c r="I4467" s="5" t="s">
        <v>10656</v>
      </c>
      <c r="J4467" s="12" t="str">
        <f>HYPERLINK("https://www.boe.es/gazeta/dias/1804/11/23/pdfs/GMD-1804-94.pdf#page=6","Abrir facsímil")</f>
        <v>Abrir facsímil</v>
      </c>
      <c r="K4467" s="15" t="s">
        <v>22</v>
      </c>
    </row>
    <row r="4468" spans="1:11" ht="42" customHeight="1">
      <c r="A4468" s="4" t="s">
        <v>10657</v>
      </c>
      <c r="B4468" s="5" t="s">
        <v>10658</v>
      </c>
      <c r="C4468" s="5" t="s">
        <v>27</v>
      </c>
      <c r="D4468" s="5" t="s">
        <v>28</v>
      </c>
      <c r="E4468" s="5" t="s">
        <v>54</v>
      </c>
      <c r="F4468" s="9">
        <v>63</v>
      </c>
      <c r="G4468" s="9">
        <v>700</v>
      </c>
      <c r="H4468" s="5" t="s">
        <v>20</v>
      </c>
      <c r="I4468" s="5" t="s">
        <v>10659</v>
      </c>
      <c r="J4468" s="12" t="str">
        <f>HYPERLINK("https://www.boe.es/gazeta/dias/1804/08/07/pdfs/GMD-1804-63.pdf#page=10","Abrir facsímil")</f>
        <v>Abrir facsímil</v>
      </c>
      <c r="K4468" s="15" t="s">
        <v>22</v>
      </c>
    </row>
    <row r="4469" spans="1:11" ht="42" customHeight="1">
      <c r="A4469" s="4" t="s">
        <v>10660</v>
      </c>
      <c r="B4469" s="5" t="s">
        <v>10660</v>
      </c>
      <c r="C4469" s="5" t="s">
        <v>17</v>
      </c>
      <c r="D4469" s="5" t="s">
        <v>18</v>
      </c>
      <c r="E4469" s="5" t="s">
        <v>71</v>
      </c>
      <c r="F4469" s="9">
        <v>99</v>
      </c>
      <c r="G4469" s="9">
        <v>1106</v>
      </c>
      <c r="H4469" s="5" t="s">
        <v>20</v>
      </c>
      <c r="I4469" s="5" t="s">
        <v>10661</v>
      </c>
      <c r="J4469" s="12" t="str">
        <f>HYPERLINK("https://www.boe.es/gazeta/dias/1804/12/11/pdfs/GMD-1804-99.pdf#page=6","Abrir facsímil")</f>
        <v>Abrir facsímil</v>
      </c>
      <c r="K4469" s="15" t="s">
        <v>22</v>
      </c>
    </row>
    <row r="4470" spans="1:11" ht="42" customHeight="1">
      <c r="A4470" s="4" t="s">
        <v>10662</v>
      </c>
      <c r="B4470" s="5" t="s">
        <v>10663</v>
      </c>
      <c r="C4470" s="5" t="s">
        <v>27</v>
      </c>
      <c r="D4470" s="5" t="s">
        <v>28</v>
      </c>
      <c r="E4470" s="5" t="s">
        <v>109</v>
      </c>
      <c r="F4470" s="9">
        <v>35</v>
      </c>
      <c r="G4470" s="9">
        <v>387</v>
      </c>
      <c r="H4470" s="5" t="s">
        <v>20</v>
      </c>
      <c r="I4470" s="5" t="s">
        <v>10664</v>
      </c>
      <c r="J4470" s="12" t="str">
        <f>HYPERLINK("https://www.boe.es/gazeta/dias/1804/05/01/pdfs/GMD-1804-35.pdf#page=9","Abrir facsímil")</f>
        <v>Abrir facsímil</v>
      </c>
      <c r="K4470" s="15" t="s">
        <v>22</v>
      </c>
    </row>
    <row r="4471" spans="1:11" ht="42" customHeight="1">
      <c r="A4471" s="4" t="s">
        <v>10665</v>
      </c>
      <c r="B4471" s="5" t="s">
        <v>10666</v>
      </c>
      <c r="C4471" s="5" t="s">
        <v>65</v>
      </c>
      <c r="D4471" s="5" t="s">
        <v>66</v>
      </c>
      <c r="E4471" s="5" t="s">
        <v>241</v>
      </c>
      <c r="F4471" s="9">
        <v>71</v>
      </c>
      <c r="G4471" s="9">
        <v>791</v>
      </c>
      <c r="H4471" s="5" t="s">
        <v>20</v>
      </c>
      <c r="I4471" s="5" t="s">
        <v>10667</v>
      </c>
      <c r="J4471" s="12" t="str">
        <f>HYPERLINK("https://www.boe.es/gazeta/dias/1804/09/04/pdfs/GMD-1804-71.pdf#page=5","Abrir facsímil")</f>
        <v>Abrir facsímil</v>
      </c>
      <c r="K4471" s="15" t="s">
        <v>22</v>
      </c>
    </row>
    <row r="4472" spans="1:11" ht="42" customHeight="1">
      <c r="A4472" s="4" t="s">
        <v>10668</v>
      </c>
      <c r="B4472" s="5" t="s">
        <v>10669</v>
      </c>
      <c r="C4472" s="5" t="s">
        <v>27</v>
      </c>
      <c r="D4472" s="5" t="s">
        <v>28</v>
      </c>
      <c r="E4472" s="5" t="s">
        <v>709</v>
      </c>
      <c r="F4472" s="9">
        <v>82</v>
      </c>
      <c r="G4472" s="9">
        <v>906</v>
      </c>
      <c r="H4472" s="5" t="s">
        <v>20</v>
      </c>
      <c r="I4472" s="5" t="s">
        <v>10670</v>
      </c>
      <c r="J4472" s="12" t="str">
        <f>HYPERLINK("https://www.boe.es/gazeta/dias/1804/10/12/pdfs/GMD-1804-82.pdf#page=8","Abrir facsímil")</f>
        <v>Abrir facsímil</v>
      </c>
      <c r="K4472" s="15" t="s">
        <v>22</v>
      </c>
    </row>
    <row r="4473" spans="1:11" ht="42" customHeight="1">
      <c r="A4473" s="4" t="s">
        <v>10671</v>
      </c>
      <c r="B4473" s="5" t="s">
        <v>10672</v>
      </c>
      <c r="C4473" s="5" t="s">
        <v>27</v>
      </c>
      <c r="D4473" s="5" t="s">
        <v>28</v>
      </c>
      <c r="E4473" s="5" t="s">
        <v>666</v>
      </c>
      <c r="F4473" s="9">
        <v>57</v>
      </c>
      <c r="G4473" s="9">
        <v>633</v>
      </c>
      <c r="H4473" s="5" t="s">
        <v>20</v>
      </c>
      <c r="I4473" s="5" t="s">
        <v>10673</v>
      </c>
      <c r="J4473" s="12" t="str">
        <f>HYPERLINK("https://www.boe.es/gazeta/dias/1804/07/17/pdfs/GMD-1804-57.pdf#page=11","Abrir facsímil")</f>
        <v>Abrir facsímil</v>
      </c>
      <c r="K4473" s="15" t="s">
        <v>22</v>
      </c>
    </row>
    <row r="4474" spans="1:11" ht="42" customHeight="1">
      <c r="A4474" s="4" t="s">
        <v>10674</v>
      </c>
      <c r="B4474" s="5" t="s">
        <v>10675</v>
      </c>
      <c r="C4474" s="5" t="s">
        <v>120</v>
      </c>
      <c r="D4474" s="5" t="s">
        <v>121</v>
      </c>
      <c r="E4474" s="5" t="s">
        <v>33</v>
      </c>
      <c r="F4474" s="9">
        <v>48</v>
      </c>
      <c r="G4474" s="9" t="s">
        <v>285</v>
      </c>
      <c r="H4474" s="5" t="s">
        <v>20</v>
      </c>
      <c r="I4474" s="5" t="s">
        <v>10676</v>
      </c>
      <c r="J4474" s="12" t="str">
        <f>HYPERLINK("https://www.boe.es/gazeta/dias/1804/06/15/pdfs/GMD-C-1804-48.pdf#page=2","Abrir facsímil")</f>
        <v>Abrir facsímil</v>
      </c>
      <c r="K4474" s="15" t="s">
        <v>22</v>
      </c>
    </row>
    <row r="4475" spans="1:11" ht="42" customHeight="1">
      <c r="A4475" s="4" t="s">
        <v>10677</v>
      </c>
      <c r="B4475" s="5" t="s">
        <v>10678</v>
      </c>
      <c r="C4475" s="5" t="s">
        <v>57</v>
      </c>
      <c r="D4475" s="5" t="s">
        <v>58</v>
      </c>
      <c r="E4475" s="5" t="s">
        <v>199</v>
      </c>
      <c r="F4475" s="9">
        <v>46</v>
      </c>
      <c r="G4475" s="9">
        <v>505</v>
      </c>
      <c r="H4475" s="5" t="s">
        <v>20</v>
      </c>
      <c r="I4475" s="5" t="s">
        <v>10679</v>
      </c>
      <c r="J4475" s="12" t="str">
        <f>HYPERLINK("https://www.boe.es/gazeta/dias/1804/06/08/pdfs/GMD-1804-46.pdf#page=3","Abrir facsímil")</f>
        <v>Abrir facsímil</v>
      </c>
      <c r="K4475" s="15" t="s">
        <v>22</v>
      </c>
    </row>
    <row r="4476" spans="1:11" ht="42" customHeight="1">
      <c r="A4476" s="4" t="s">
        <v>10680</v>
      </c>
      <c r="B4476" s="5" t="s">
        <v>10681</v>
      </c>
      <c r="C4476" s="5" t="s">
        <v>57</v>
      </c>
      <c r="D4476" s="5" t="s">
        <v>58</v>
      </c>
      <c r="E4476" s="5" t="s">
        <v>302</v>
      </c>
      <c r="F4476" s="9">
        <v>3</v>
      </c>
      <c r="G4476" s="9">
        <v>24</v>
      </c>
      <c r="H4476" s="5" t="s">
        <v>20</v>
      </c>
      <c r="I4476" s="5" t="s">
        <v>10682</v>
      </c>
      <c r="J4476" s="12" t="str">
        <f>HYPERLINK("https://www.boe.es/gazeta/dias/1804/01/10/pdfs/GMD-1804-3.pdf#page=4","Abrir facsímil")</f>
        <v>Abrir facsímil</v>
      </c>
      <c r="K4476" s="15" t="s">
        <v>22</v>
      </c>
    </row>
    <row r="4477" spans="1:11" ht="42" customHeight="1">
      <c r="A4477" s="4" t="s">
        <v>10683</v>
      </c>
      <c r="B4477" s="5" t="s">
        <v>10683</v>
      </c>
      <c r="C4477" s="5" t="s">
        <v>27</v>
      </c>
      <c r="D4477" s="5" t="s">
        <v>28</v>
      </c>
      <c r="E4477" s="5" t="s">
        <v>388</v>
      </c>
      <c r="F4477" s="9">
        <v>18</v>
      </c>
      <c r="G4477" s="9">
        <v>198</v>
      </c>
      <c r="H4477" s="5" t="s">
        <v>20</v>
      </c>
      <c r="I4477" s="5" t="s">
        <v>10684</v>
      </c>
      <c r="J4477" s="12" t="str">
        <f>HYPERLINK("https://www.boe.es/gazeta/dias/1804/03/02/pdfs/GMD-1804-18.pdf#page=10","Abrir facsímil")</f>
        <v>Abrir facsímil</v>
      </c>
      <c r="K4477" s="15" t="s">
        <v>22</v>
      </c>
    </row>
    <row r="4478" spans="1:11" ht="42" customHeight="1">
      <c r="A4478" s="4" t="s">
        <v>10685</v>
      </c>
      <c r="B4478" s="5" t="s">
        <v>10686</v>
      </c>
      <c r="C4478" s="5" t="s">
        <v>57</v>
      </c>
      <c r="D4478" s="5" t="s">
        <v>58</v>
      </c>
      <c r="E4478" s="5" t="s">
        <v>143</v>
      </c>
      <c r="F4478" s="9">
        <v>87</v>
      </c>
      <c r="G4478" s="9">
        <v>958</v>
      </c>
      <c r="H4478" s="5" t="s">
        <v>20</v>
      </c>
      <c r="I4478" s="5" t="s">
        <v>10687</v>
      </c>
      <c r="J4478" s="12" t="str">
        <f>HYPERLINK("https://www.boe.es/gazeta/dias/1804/10/30/pdfs/GMD-1804-87.pdf#page=2","Abrir facsímil")</f>
        <v>Abrir facsímil</v>
      </c>
      <c r="K4478" s="15" t="s">
        <v>22</v>
      </c>
    </row>
    <row r="4479" spans="1:11" ht="42" customHeight="1">
      <c r="A4479" s="4" t="s">
        <v>10688</v>
      </c>
      <c r="B4479" s="5" t="s">
        <v>10689</v>
      </c>
      <c r="C4479" s="5" t="s">
        <v>57</v>
      </c>
      <c r="D4479" s="5" t="s">
        <v>58</v>
      </c>
      <c r="E4479" s="5" t="s">
        <v>339</v>
      </c>
      <c r="F4479" s="9">
        <v>94</v>
      </c>
      <c r="G4479" s="9">
        <v>1034</v>
      </c>
      <c r="H4479" s="5" t="s">
        <v>20</v>
      </c>
      <c r="I4479" s="5" t="s">
        <v>10690</v>
      </c>
      <c r="J4479" s="12" t="str">
        <f>HYPERLINK("https://www.boe.es/gazeta/dias/1804/11/23/pdfs/GMD-1804-94.pdf#page=2","Abrir facsímil")</f>
        <v>Abrir facsímil</v>
      </c>
      <c r="K4479" s="15" t="s">
        <v>22</v>
      </c>
    </row>
    <row r="4480" spans="1:11" ht="42" customHeight="1">
      <c r="A4480" s="4" t="s">
        <v>10691</v>
      </c>
      <c r="B4480" s="5" t="s">
        <v>10692</v>
      </c>
      <c r="C4480" s="5" t="s">
        <v>17</v>
      </c>
      <c r="D4480" s="5" t="s">
        <v>18</v>
      </c>
      <c r="E4480" s="5" t="s">
        <v>71</v>
      </c>
      <c r="F4480" s="9">
        <v>99</v>
      </c>
      <c r="G4480" s="9">
        <v>1107</v>
      </c>
      <c r="H4480" s="5" t="s">
        <v>20</v>
      </c>
      <c r="I4480" s="5" t="s">
        <v>10693</v>
      </c>
      <c r="J4480" s="12" t="str">
        <f>HYPERLINK("https://www.boe.es/gazeta/dias/1804/12/11/pdfs/GMD-1804-99.pdf#page=7","Abrir facsímil")</f>
        <v>Abrir facsímil</v>
      </c>
      <c r="K4480" s="15" t="s">
        <v>22</v>
      </c>
    </row>
    <row r="4481" spans="1:11" ht="42" customHeight="1">
      <c r="A4481" s="4" t="s">
        <v>10694</v>
      </c>
      <c r="B4481" s="5" t="s">
        <v>10695</v>
      </c>
      <c r="C4481" s="5" t="s">
        <v>17</v>
      </c>
      <c r="D4481" s="5" t="s">
        <v>18</v>
      </c>
      <c r="E4481" s="5" t="s">
        <v>71</v>
      </c>
      <c r="F4481" s="9">
        <v>99</v>
      </c>
      <c r="G4481" s="9">
        <v>1106</v>
      </c>
      <c r="H4481" s="5" t="s">
        <v>20</v>
      </c>
      <c r="I4481" s="5" t="s">
        <v>10696</v>
      </c>
      <c r="J4481" s="12" t="str">
        <f>HYPERLINK("https://www.boe.es/gazeta/dias/1804/12/11/pdfs/GMD-1804-99.pdf#page=6","Abrir facsímil")</f>
        <v>Abrir facsímil</v>
      </c>
      <c r="K4481" s="15" t="s">
        <v>22</v>
      </c>
    </row>
    <row r="4482" spans="1:11" ht="42" customHeight="1">
      <c r="A4482" s="4" t="s">
        <v>10697</v>
      </c>
      <c r="B4482" s="5" t="s">
        <v>10697</v>
      </c>
      <c r="C4482" s="5" t="s">
        <v>65</v>
      </c>
      <c r="D4482" s="5" t="s">
        <v>66</v>
      </c>
      <c r="E4482" s="5" t="s">
        <v>515</v>
      </c>
      <c r="F4482" s="9">
        <v>102</v>
      </c>
      <c r="G4482" s="9">
        <v>1139</v>
      </c>
      <c r="H4482" s="5" t="s">
        <v>20</v>
      </c>
      <c r="I4482" s="5" t="s">
        <v>10698</v>
      </c>
      <c r="J4482" s="12" t="str">
        <f>HYPERLINK("https://www.boe.es/gazeta/dias/1804/12/21/pdfs/GMD-1804-102.pdf#page=7","Abrir facsímil")</f>
        <v>Abrir facsímil</v>
      </c>
      <c r="K4482" s="15" t="s">
        <v>22</v>
      </c>
    </row>
    <row r="4483" spans="1:11" ht="42" customHeight="1">
      <c r="A4483" s="4" t="s">
        <v>10699</v>
      </c>
      <c r="B4483" s="5" t="s">
        <v>10699</v>
      </c>
      <c r="C4483" s="5" t="s">
        <v>65</v>
      </c>
      <c r="D4483" s="5" t="s">
        <v>66</v>
      </c>
      <c r="E4483" s="5" t="s">
        <v>670</v>
      </c>
      <c r="F4483" s="9">
        <v>41</v>
      </c>
      <c r="G4483" s="9">
        <v>460</v>
      </c>
      <c r="H4483" s="5" t="s">
        <v>20</v>
      </c>
      <c r="I4483" s="5" t="s">
        <v>10700</v>
      </c>
      <c r="J4483" s="12" t="str">
        <f>HYPERLINK("https://www.boe.es/gazeta/dias/1804/05/22/pdfs/GMD-1804-41.pdf#page=10","Abrir facsímil")</f>
        <v>Abrir facsímil</v>
      </c>
      <c r="K4483" s="15" t="s">
        <v>22</v>
      </c>
    </row>
    <row r="4484" spans="1:11" ht="42" customHeight="1">
      <c r="A4484" s="4" t="s">
        <v>10701</v>
      </c>
      <c r="B4484" s="5" t="s">
        <v>10701</v>
      </c>
      <c r="C4484" s="5" t="s">
        <v>57</v>
      </c>
      <c r="D4484" s="5" t="s">
        <v>58</v>
      </c>
      <c r="E4484" s="5" t="s">
        <v>230</v>
      </c>
      <c r="F4484" s="9">
        <v>26</v>
      </c>
      <c r="G4484" s="9">
        <v>291</v>
      </c>
      <c r="H4484" s="5" t="s">
        <v>20</v>
      </c>
      <c r="I4484" s="5" t="s">
        <v>10702</v>
      </c>
      <c r="J4484" s="12" t="str">
        <f>HYPERLINK("https://www.boe.es/gazeta/dias/1804/03/30/pdfs/GMD-1804-26.pdf#page=5","Abrir facsímil")</f>
        <v>Abrir facsímil</v>
      </c>
      <c r="K4484" s="15" t="s">
        <v>22</v>
      </c>
    </row>
    <row r="4485" spans="1:11" ht="42" customHeight="1">
      <c r="A4485" s="4" t="s">
        <v>10703</v>
      </c>
      <c r="B4485" s="5" t="s">
        <v>10703</v>
      </c>
      <c r="C4485" s="5" t="s">
        <v>17</v>
      </c>
      <c r="D4485" s="5" t="s">
        <v>18</v>
      </c>
      <c r="E4485" s="5" t="s">
        <v>637</v>
      </c>
      <c r="F4485" s="9">
        <v>74</v>
      </c>
      <c r="G4485" s="9">
        <v>833</v>
      </c>
      <c r="H4485" s="5" t="s">
        <v>20</v>
      </c>
      <c r="I4485" s="5" t="s">
        <v>10704</v>
      </c>
      <c r="J4485" s="12" t="str">
        <f>HYPERLINK("https://www.boe.es/gazeta/dias/1804/09/14/pdfs/GMD-1804-74.pdf#page=11","Abrir facsímil")</f>
        <v>Abrir facsímil</v>
      </c>
      <c r="K4485" s="15" t="s">
        <v>22</v>
      </c>
    </row>
    <row r="4486" spans="1:11" ht="42" customHeight="1">
      <c r="A4486" s="4" t="s">
        <v>10705</v>
      </c>
      <c r="B4486" s="5" t="s">
        <v>10705</v>
      </c>
      <c r="C4486" s="5" t="s">
        <v>65</v>
      </c>
      <c r="D4486" s="5" t="s">
        <v>66</v>
      </c>
      <c r="E4486" s="5" t="s">
        <v>466</v>
      </c>
      <c r="F4486" s="9">
        <v>76</v>
      </c>
      <c r="G4486" s="9">
        <v>847</v>
      </c>
      <c r="H4486" s="5" t="s">
        <v>20</v>
      </c>
      <c r="I4486" s="5" t="s">
        <v>10706</v>
      </c>
      <c r="J4486" s="12" t="str">
        <f>HYPERLINK("https://www.boe.es/gazeta/dias/1804/09/21/pdfs/GMD-1804-76.pdf#page=5","Abrir facsímil")</f>
        <v>Abrir facsímil</v>
      </c>
      <c r="K4486" s="15" t="s">
        <v>22</v>
      </c>
    </row>
    <row r="4487" spans="1:11" ht="42" customHeight="1">
      <c r="A4487" s="4" t="s">
        <v>10707</v>
      </c>
      <c r="B4487" s="5" t="s">
        <v>10707</v>
      </c>
      <c r="C4487" s="5" t="s">
        <v>17</v>
      </c>
      <c r="D4487" s="5" t="s">
        <v>18</v>
      </c>
      <c r="E4487" s="5" t="s">
        <v>143</v>
      </c>
      <c r="F4487" s="9">
        <v>87</v>
      </c>
      <c r="G4487" s="9">
        <v>962</v>
      </c>
      <c r="H4487" s="5" t="s">
        <v>20</v>
      </c>
      <c r="I4487" s="5" t="s">
        <v>10708</v>
      </c>
      <c r="J4487" s="12" t="str">
        <f>HYPERLINK("https://www.boe.es/gazeta/dias/1804/10/30/pdfs/GMD-1804-87.pdf#page=6","Abrir facsímil")</f>
        <v>Abrir facsímil</v>
      </c>
      <c r="K4487" s="15" t="s">
        <v>22</v>
      </c>
    </row>
    <row r="4488" spans="1:11" ht="42" customHeight="1">
      <c r="A4488" s="4" t="s">
        <v>10707</v>
      </c>
      <c r="B4488" s="5" t="s">
        <v>10707</v>
      </c>
      <c r="C4488" s="5" t="s">
        <v>57</v>
      </c>
      <c r="D4488" s="5" t="s">
        <v>58</v>
      </c>
      <c r="E4488" s="5" t="s">
        <v>212</v>
      </c>
      <c r="F4488" s="9">
        <v>89</v>
      </c>
      <c r="G4488" s="9">
        <v>986</v>
      </c>
      <c r="H4488" s="5" t="s">
        <v>20</v>
      </c>
      <c r="I4488" s="5" t="s">
        <v>10709</v>
      </c>
      <c r="J4488" s="12" t="str">
        <f>HYPERLINK("https://www.boe.es/gazeta/dias/1804/11/06/pdfs/GMD-1804-89.pdf#page=6","Abrir facsímil")</f>
        <v>Abrir facsímil</v>
      </c>
      <c r="K4488" s="15" t="s">
        <v>22</v>
      </c>
    </row>
    <row r="4489" spans="1:11" ht="42" customHeight="1">
      <c r="A4489" s="4" t="s">
        <v>10707</v>
      </c>
      <c r="B4489" s="5" t="s">
        <v>10707</v>
      </c>
      <c r="C4489" s="5" t="s">
        <v>27</v>
      </c>
      <c r="D4489" s="5" t="s">
        <v>28</v>
      </c>
      <c r="E4489" s="5" t="s">
        <v>950</v>
      </c>
      <c r="F4489" s="9">
        <v>90</v>
      </c>
      <c r="G4489" s="9">
        <v>993</v>
      </c>
      <c r="H4489" s="5" t="s">
        <v>20</v>
      </c>
      <c r="I4489" s="5" t="s">
        <v>10710</v>
      </c>
      <c r="J4489" s="12" t="str">
        <f>HYPERLINK("https://www.boe.es/gazeta/dias/1804/11/09/pdfs/GMD-1804-90.pdf#page=1","Abrir facsímil")</f>
        <v>Abrir facsímil</v>
      </c>
      <c r="K4489" s="15" t="s">
        <v>22</v>
      </c>
    </row>
    <row r="4490" spans="1:11" ht="42" customHeight="1">
      <c r="A4490" s="4" t="s">
        <v>10711</v>
      </c>
      <c r="B4490" s="5" t="s">
        <v>10711</v>
      </c>
      <c r="C4490" s="5" t="s">
        <v>57</v>
      </c>
      <c r="D4490" s="5" t="s">
        <v>58</v>
      </c>
      <c r="E4490" s="5" t="s">
        <v>50</v>
      </c>
      <c r="F4490" s="9">
        <v>93</v>
      </c>
      <c r="G4490" s="9">
        <v>1026</v>
      </c>
      <c r="H4490" s="5" t="s">
        <v>20</v>
      </c>
      <c r="I4490" s="5" t="s">
        <v>10712</v>
      </c>
      <c r="J4490" s="12" t="str">
        <f>HYPERLINK("https://www.boe.es/gazeta/dias/1804/11/20/pdfs/GMD-1804-93.pdf#page=2","Abrir facsímil")</f>
        <v>Abrir facsímil</v>
      </c>
      <c r="K4490" s="15" t="s">
        <v>22</v>
      </c>
    </row>
    <row r="4491" spans="1:11" ht="42" customHeight="1">
      <c r="A4491" s="4" t="s">
        <v>10713</v>
      </c>
      <c r="B4491" s="5" t="s">
        <v>10714</v>
      </c>
      <c r="C4491" s="5" t="s">
        <v>27</v>
      </c>
      <c r="D4491" s="5" t="s">
        <v>28</v>
      </c>
      <c r="E4491" s="5" t="s">
        <v>308</v>
      </c>
      <c r="F4491" s="9">
        <v>96</v>
      </c>
      <c r="G4491" s="9">
        <v>1067</v>
      </c>
      <c r="H4491" s="5" t="s">
        <v>20</v>
      </c>
      <c r="I4491" s="5" t="s">
        <v>10715</v>
      </c>
      <c r="J4491" s="12" t="str">
        <f>HYPERLINK("https://www.boe.es/gazeta/dias/1804/11/30/pdfs/GMD-1804-96.pdf#page=7","Abrir facsímil")</f>
        <v>Abrir facsímil</v>
      </c>
      <c r="K4491" s="15" t="s">
        <v>22</v>
      </c>
    </row>
    <row r="4492" spans="1:11" ht="42" customHeight="1">
      <c r="A4492" s="4" t="s">
        <v>10716</v>
      </c>
      <c r="B4492" s="5" t="s">
        <v>10716</v>
      </c>
      <c r="C4492" s="5" t="s">
        <v>17</v>
      </c>
      <c r="D4492" s="5" t="s">
        <v>18</v>
      </c>
      <c r="E4492" s="5" t="s">
        <v>208</v>
      </c>
      <c r="F4492" s="9">
        <v>97</v>
      </c>
      <c r="G4492" s="9">
        <v>1083</v>
      </c>
      <c r="H4492" s="5" t="s">
        <v>20</v>
      </c>
      <c r="I4492" s="5" t="s">
        <v>10717</v>
      </c>
      <c r="J4492" s="12" t="str">
        <f>HYPERLINK("https://www.boe.es/gazeta/dias/1804/12/04/pdfs/GMD-1804-97.pdf#page=11","Abrir facsímil")</f>
        <v>Abrir facsímil</v>
      </c>
      <c r="K4492" s="15" t="s">
        <v>22</v>
      </c>
    </row>
    <row r="4493" spans="1:11" ht="42" customHeight="1">
      <c r="A4493" s="4" t="s">
        <v>10718</v>
      </c>
      <c r="B4493" s="5" t="s">
        <v>10718</v>
      </c>
      <c r="C4493" s="5" t="s">
        <v>85</v>
      </c>
      <c r="D4493" s="5" t="s">
        <v>86</v>
      </c>
      <c r="E4493" s="5" t="s">
        <v>19</v>
      </c>
      <c r="F4493" s="9">
        <v>60</v>
      </c>
      <c r="G4493" s="9">
        <v>670</v>
      </c>
      <c r="H4493" s="5" t="s">
        <v>20</v>
      </c>
      <c r="I4493" s="5" t="s">
        <v>10719</v>
      </c>
      <c r="J4493" s="12" t="str">
        <f>HYPERLINK("https://www.boe.es/gazeta/dias/1804/07/27/pdfs/GMD-1804-60.pdf#page=12","Abrir facsímil")</f>
        <v>Abrir facsímil</v>
      </c>
      <c r="K4493" s="15" t="s">
        <v>22</v>
      </c>
    </row>
    <row r="4494" spans="1:11" ht="42" customHeight="1">
      <c r="A4494" s="4" t="s">
        <v>10720</v>
      </c>
      <c r="B4494" s="5" t="s">
        <v>10721</v>
      </c>
      <c r="C4494" s="5" t="s">
        <v>65</v>
      </c>
      <c r="D4494" s="5" t="s">
        <v>66</v>
      </c>
      <c r="E4494" s="5" t="s">
        <v>547</v>
      </c>
      <c r="F4494" s="9">
        <v>68</v>
      </c>
      <c r="G4494" s="9">
        <v>756</v>
      </c>
      <c r="H4494" s="5" t="s">
        <v>20</v>
      </c>
      <c r="I4494" s="5" t="s">
        <v>10722</v>
      </c>
      <c r="J4494" s="12" t="str">
        <f>HYPERLINK("https://www.boe.es/gazeta/dias/1804/08/24/pdfs/GMD-1804-68.pdf#page=2","Abrir facsímil")</f>
        <v>Abrir facsímil</v>
      </c>
      <c r="K4494" s="15" t="s">
        <v>22</v>
      </c>
    </row>
    <row r="4495" spans="1:11" ht="42" customHeight="1">
      <c r="A4495" s="4" t="s">
        <v>10723</v>
      </c>
      <c r="B4495" s="5" t="s">
        <v>10724</v>
      </c>
      <c r="C4495" s="5" t="s">
        <v>17</v>
      </c>
      <c r="D4495" s="5" t="s">
        <v>18</v>
      </c>
      <c r="E4495" s="5" t="s">
        <v>497</v>
      </c>
      <c r="F4495" s="9">
        <v>25</v>
      </c>
      <c r="G4495" s="9">
        <v>285</v>
      </c>
      <c r="H4495" s="5" t="s">
        <v>20</v>
      </c>
      <c r="I4495" s="5" t="s">
        <v>10725</v>
      </c>
      <c r="J4495" s="12" t="str">
        <f>HYPERLINK("https://www.boe.es/gazeta/dias/1804/03/27/pdfs/GMD-1804-25.pdf#page=7","Abrir facsímil")</f>
        <v>Abrir facsímil</v>
      </c>
      <c r="K4495" s="15" t="s">
        <v>22</v>
      </c>
    </row>
    <row r="4496" spans="1:11" ht="42" customHeight="1">
      <c r="A4496" s="4" t="s">
        <v>10726</v>
      </c>
      <c r="B4496" s="5" t="s">
        <v>10727</v>
      </c>
      <c r="C4496" s="5" t="s">
        <v>65</v>
      </c>
      <c r="D4496" s="5" t="s">
        <v>66</v>
      </c>
      <c r="E4496" s="5" t="s">
        <v>19</v>
      </c>
      <c r="F4496" s="9">
        <v>60</v>
      </c>
      <c r="G4496" s="9">
        <v>669</v>
      </c>
      <c r="H4496" s="5" t="s">
        <v>20</v>
      </c>
      <c r="I4496" s="5" t="s">
        <v>10728</v>
      </c>
      <c r="J4496" s="12" t="str">
        <f>HYPERLINK("https://www.boe.es/gazeta/dias/1804/07/27/pdfs/GMD-1804-60.pdf#page=11","Abrir facsímil")</f>
        <v>Abrir facsímil</v>
      </c>
      <c r="K4496" s="15" t="s">
        <v>22</v>
      </c>
    </row>
    <row r="4497" spans="1:11" ht="42" customHeight="1">
      <c r="A4497" s="4" t="s">
        <v>10729</v>
      </c>
      <c r="B4497" s="5" t="s">
        <v>10730</v>
      </c>
      <c r="C4497" s="5" t="s">
        <v>27</v>
      </c>
      <c r="D4497" s="5" t="s">
        <v>28</v>
      </c>
      <c r="E4497" s="5" t="s">
        <v>350</v>
      </c>
      <c r="F4497" s="9">
        <v>19</v>
      </c>
      <c r="G4497" s="9">
        <v>209</v>
      </c>
      <c r="H4497" s="5" t="s">
        <v>20</v>
      </c>
      <c r="I4497" s="5" t="s">
        <v>10731</v>
      </c>
      <c r="J4497" s="12" t="str">
        <f>HYPERLINK("https://www.boe.es/gazeta/dias/1804/03/06/pdfs/GMD-1804-19.pdf#page=9","Abrir facsímil")</f>
        <v>Abrir facsímil</v>
      </c>
      <c r="K4497" s="15" t="s">
        <v>22</v>
      </c>
    </row>
    <row r="4498" spans="1:11" ht="42" customHeight="1">
      <c r="A4498" s="4" t="s">
        <v>10732</v>
      </c>
      <c r="B4498" s="5" t="s">
        <v>10733</v>
      </c>
      <c r="C4498" s="5" t="s">
        <v>27</v>
      </c>
      <c r="D4498" s="5" t="s">
        <v>28</v>
      </c>
      <c r="E4498" s="5" t="s">
        <v>782</v>
      </c>
      <c r="F4498" s="9">
        <v>75</v>
      </c>
      <c r="G4498" s="9">
        <v>840</v>
      </c>
      <c r="H4498" s="5" t="s">
        <v>20</v>
      </c>
      <c r="I4498" s="5" t="s">
        <v>10734</v>
      </c>
      <c r="J4498" s="12" t="str">
        <f>HYPERLINK("https://www.boe.es/gazeta/dias/1804/09/18/pdfs/GMD-1804-75.pdf#page=6","Abrir facsímil")</f>
        <v>Abrir facsímil</v>
      </c>
      <c r="K4498" s="15" t="s">
        <v>22</v>
      </c>
    </row>
    <row r="4499" spans="1:11" ht="42" customHeight="1">
      <c r="A4499" s="4" t="s">
        <v>10735</v>
      </c>
      <c r="B4499" s="5" t="s">
        <v>10736</v>
      </c>
      <c r="C4499" s="5" t="s">
        <v>27</v>
      </c>
      <c r="D4499" s="5" t="s">
        <v>28</v>
      </c>
      <c r="E4499" s="5" t="s">
        <v>226</v>
      </c>
      <c r="F4499" s="9">
        <v>17</v>
      </c>
      <c r="G4499" s="9">
        <v>186</v>
      </c>
      <c r="H4499" s="5" t="s">
        <v>20</v>
      </c>
      <c r="I4499" s="5" t="s">
        <v>10737</v>
      </c>
      <c r="J4499" s="12" t="str">
        <f>HYPERLINK("https://www.boe.es/gazeta/dias/1804/02/28/pdfs/GMD-1804-17.pdf#page=6","Abrir facsímil")</f>
        <v>Abrir facsímil</v>
      </c>
      <c r="K4499" s="15" t="s">
        <v>22</v>
      </c>
    </row>
    <row r="4500" spans="1:11" ht="42" customHeight="1">
      <c r="A4500" s="4" t="s">
        <v>10738</v>
      </c>
      <c r="B4500" s="5" t="s">
        <v>10739</v>
      </c>
      <c r="C4500" s="5" t="s">
        <v>120</v>
      </c>
      <c r="D4500" s="5" t="s">
        <v>121</v>
      </c>
      <c r="E4500" s="5" t="s">
        <v>33</v>
      </c>
      <c r="F4500" s="9">
        <v>48</v>
      </c>
      <c r="G4500" s="9" t="s">
        <v>285</v>
      </c>
      <c r="H4500" s="5" t="s">
        <v>20</v>
      </c>
      <c r="I4500" s="5" t="s">
        <v>10740</v>
      </c>
      <c r="J4500" s="12" t="str">
        <f>HYPERLINK("https://www.boe.es/gazeta/dias/1804/06/15/pdfs/GMD-C-1804-48.pdf#page=2","Abrir facsímil")</f>
        <v>Abrir facsímil</v>
      </c>
      <c r="K4500" s="15" t="s">
        <v>22</v>
      </c>
    </row>
    <row r="4501" spans="1:11" ht="42" customHeight="1">
      <c r="A4501" s="4" t="s">
        <v>10741</v>
      </c>
      <c r="B4501" s="5" t="s">
        <v>10741</v>
      </c>
      <c r="C4501" s="5" t="s">
        <v>57</v>
      </c>
      <c r="D4501" s="5" t="s">
        <v>58</v>
      </c>
      <c r="E4501" s="5" t="s">
        <v>143</v>
      </c>
      <c r="F4501" s="9">
        <v>87</v>
      </c>
      <c r="G4501" s="9">
        <v>958</v>
      </c>
      <c r="H4501" s="5" t="s">
        <v>20</v>
      </c>
      <c r="I4501" s="5" t="s">
        <v>10742</v>
      </c>
      <c r="J4501" s="12" t="str">
        <f>HYPERLINK("https://www.boe.es/gazeta/dias/1804/10/30/pdfs/GMD-1804-87.pdf#page=2","Abrir facsímil")</f>
        <v>Abrir facsímil</v>
      </c>
      <c r="K4501" s="15" t="s">
        <v>22</v>
      </c>
    </row>
    <row r="4502" spans="1:11" ht="42" customHeight="1">
      <c r="A4502" s="4" t="s">
        <v>10743</v>
      </c>
      <c r="B4502" s="5" t="s">
        <v>10744</v>
      </c>
      <c r="C4502" s="5" t="s">
        <v>17</v>
      </c>
      <c r="D4502" s="5" t="s">
        <v>18</v>
      </c>
      <c r="E4502" s="5" t="s">
        <v>47</v>
      </c>
      <c r="F4502" s="9">
        <v>78</v>
      </c>
      <c r="G4502" s="9">
        <v>867</v>
      </c>
      <c r="H4502" s="5" t="s">
        <v>20</v>
      </c>
      <c r="I4502" s="5" t="s">
        <v>10745</v>
      </c>
      <c r="J4502" s="12" t="str">
        <f>HYPERLINK("https://www.boe.es/gazeta/dias/1804/09/28/pdfs/GMD-1804-78.pdf#page=5","Abrir facsímil")</f>
        <v>Abrir facsímil</v>
      </c>
      <c r="K4502" s="15" t="s">
        <v>22</v>
      </c>
    </row>
    <row r="4503" spans="1:11" ht="42" customHeight="1">
      <c r="A4503" s="4" t="s">
        <v>10746</v>
      </c>
      <c r="B4503" s="5" t="s">
        <v>10747</v>
      </c>
      <c r="C4503" s="5" t="s">
        <v>65</v>
      </c>
      <c r="D4503" s="5" t="s">
        <v>66</v>
      </c>
      <c r="E4503" s="5" t="s">
        <v>576</v>
      </c>
      <c r="F4503" s="9">
        <v>85</v>
      </c>
      <c r="G4503" s="9">
        <v>934</v>
      </c>
      <c r="H4503" s="5" t="s">
        <v>20</v>
      </c>
      <c r="I4503" s="5" t="s">
        <v>10748</v>
      </c>
      <c r="J4503" s="12" t="str">
        <f>HYPERLINK("https://www.boe.es/gazeta/dias/1804/10/23/pdfs/GMD-1804-85.pdf#page=4","Abrir facsímil")</f>
        <v>Abrir facsímil</v>
      </c>
      <c r="K4503" s="15" t="s">
        <v>22</v>
      </c>
    </row>
    <row r="4504" spans="1:11" ht="42" customHeight="1">
      <c r="A4504" s="4" t="s">
        <v>10749</v>
      </c>
      <c r="B4504" s="5" t="s">
        <v>10750</v>
      </c>
      <c r="C4504" s="5" t="s">
        <v>57</v>
      </c>
      <c r="D4504" s="5" t="s">
        <v>58</v>
      </c>
      <c r="E4504" s="5" t="s">
        <v>75</v>
      </c>
      <c r="F4504" s="9">
        <v>16</v>
      </c>
      <c r="G4504" s="9">
        <v>170</v>
      </c>
      <c r="H4504" s="5" t="s">
        <v>20</v>
      </c>
      <c r="I4504" s="5" t="s">
        <v>10751</v>
      </c>
      <c r="J4504" s="12" t="str">
        <f>HYPERLINK("https://www.boe.es/gazeta/dias/1804/02/24/pdfs/GMD-1804-16.pdf#page=6","Abrir facsímil")</f>
        <v>Abrir facsímil</v>
      </c>
      <c r="K4504" s="15" t="s">
        <v>22</v>
      </c>
    </row>
    <row r="4505" spans="1:11" ht="42" customHeight="1">
      <c r="A4505" s="4" t="s">
        <v>10749</v>
      </c>
      <c r="B4505" s="5" t="s">
        <v>10750</v>
      </c>
      <c r="C4505" s="5" t="s">
        <v>17</v>
      </c>
      <c r="D4505" s="5" t="s">
        <v>18</v>
      </c>
      <c r="E4505" s="5" t="s">
        <v>109</v>
      </c>
      <c r="F4505" s="9">
        <v>35</v>
      </c>
      <c r="G4505" s="9">
        <v>385</v>
      </c>
      <c r="H4505" s="5" t="s">
        <v>20</v>
      </c>
      <c r="I4505" s="5" t="s">
        <v>10752</v>
      </c>
      <c r="J4505" s="12" t="str">
        <f>HYPERLINK("https://www.boe.es/gazeta/dias/1804/05/01/pdfs/GMD-1804-35.pdf#page=7","Abrir facsímil")</f>
        <v>Abrir facsímil</v>
      </c>
      <c r="K4505" s="15" t="s">
        <v>22</v>
      </c>
    </row>
    <row r="4506" spans="1:11" ht="42" customHeight="1">
      <c r="A4506" s="4" t="s">
        <v>10749</v>
      </c>
      <c r="B4506" s="5" t="s">
        <v>10750</v>
      </c>
      <c r="C4506" s="5" t="s">
        <v>17</v>
      </c>
      <c r="D4506" s="5" t="s">
        <v>18</v>
      </c>
      <c r="E4506" s="5" t="s">
        <v>782</v>
      </c>
      <c r="F4506" s="9">
        <v>75</v>
      </c>
      <c r="G4506" s="9">
        <v>840</v>
      </c>
      <c r="H4506" s="5" t="s">
        <v>20</v>
      </c>
      <c r="I4506" s="5" t="s">
        <v>10753</v>
      </c>
      <c r="J4506" s="12" t="str">
        <f>HYPERLINK("https://www.boe.es/gazeta/dias/1804/09/18/pdfs/GMD-1804-75.pdf#page=6","Abrir facsímil")</f>
        <v>Abrir facsímil</v>
      </c>
      <c r="K4506" s="15" t="s">
        <v>22</v>
      </c>
    </row>
    <row r="4507" spans="1:11" ht="42" customHeight="1">
      <c r="A4507" s="4" t="s">
        <v>10754</v>
      </c>
      <c r="B4507" s="5" t="s">
        <v>10755</v>
      </c>
      <c r="C4507" s="5" t="s">
        <v>27</v>
      </c>
      <c r="D4507" s="5" t="s">
        <v>28</v>
      </c>
      <c r="E4507" s="5" t="s">
        <v>526</v>
      </c>
      <c r="F4507" s="9">
        <v>95</v>
      </c>
      <c r="G4507" s="9">
        <v>1056</v>
      </c>
      <c r="H4507" s="5" t="s">
        <v>20</v>
      </c>
      <c r="I4507" s="5" t="s">
        <v>10756</v>
      </c>
      <c r="J4507" s="12" t="str">
        <f>HYPERLINK("https://www.boe.es/gazeta/dias/1804/11/27/pdfs/GMD-1804-95.pdf#page=8","Abrir facsímil")</f>
        <v>Abrir facsímil</v>
      </c>
      <c r="K4507" s="15" t="s">
        <v>22</v>
      </c>
    </row>
    <row r="4508" spans="1:11" ht="42" customHeight="1">
      <c r="A4508" s="4" t="s">
        <v>10757</v>
      </c>
      <c r="B4508" s="5" t="s">
        <v>10758</v>
      </c>
      <c r="C4508" s="5" t="s">
        <v>17</v>
      </c>
      <c r="D4508" s="5" t="s">
        <v>18</v>
      </c>
      <c r="E4508" s="5" t="s">
        <v>421</v>
      </c>
      <c r="F4508" s="9">
        <v>47</v>
      </c>
      <c r="G4508" s="9">
        <v>528</v>
      </c>
      <c r="H4508" s="5" t="s">
        <v>20</v>
      </c>
      <c r="I4508" s="5" t="s">
        <v>10759</v>
      </c>
      <c r="J4508" s="12" t="str">
        <f>HYPERLINK("https://www.boe.es/gazeta/dias/1804/06/12/pdfs/GMD-1804-47.pdf#page=10","Abrir facsímil")</f>
        <v>Abrir facsímil</v>
      </c>
      <c r="K4508" s="15" t="s">
        <v>22</v>
      </c>
    </row>
    <row r="4509" spans="1:11" ht="42" customHeight="1">
      <c r="A4509" s="4" t="s">
        <v>10760</v>
      </c>
      <c r="B4509" s="5" t="s">
        <v>10760</v>
      </c>
      <c r="C4509" s="5" t="s">
        <v>57</v>
      </c>
      <c r="D4509" s="5" t="s">
        <v>58</v>
      </c>
      <c r="E4509" s="5" t="s">
        <v>587</v>
      </c>
      <c r="F4509" s="9">
        <v>62</v>
      </c>
      <c r="G4509" s="9">
        <v>680</v>
      </c>
      <c r="H4509" s="5" t="s">
        <v>20</v>
      </c>
      <c r="I4509" s="5" t="s">
        <v>10761</v>
      </c>
      <c r="J4509" s="12" t="str">
        <f>HYPERLINK("https://www.boe.es/gazeta/dias/1804/08/03/pdfs/GMD-1804-62.pdf#page=2","Abrir facsímil")</f>
        <v>Abrir facsímil</v>
      </c>
      <c r="K4509" s="15" t="s">
        <v>22</v>
      </c>
    </row>
    <row r="4510" spans="1:11" ht="42" customHeight="1">
      <c r="A4510" s="4" t="s">
        <v>10762</v>
      </c>
      <c r="B4510" s="5" t="s">
        <v>10763</v>
      </c>
      <c r="C4510" s="5" t="s">
        <v>57</v>
      </c>
      <c r="D4510" s="5" t="s">
        <v>58</v>
      </c>
      <c r="E4510" s="5" t="s">
        <v>576</v>
      </c>
      <c r="F4510" s="9">
        <v>85</v>
      </c>
      <c r="G4510" s="9">
        <v>935</v>
      </c>
      <c r="H4510" s="5" t="s">
        <v>20</v>
      </c>
      <c r="I4510" s="5" t="s">
        <v>10764</v>
      </c>
      <c r="J4510" s="12" t="str">
        <f>HYPERLINK("https://www.boe.es/gazeta/dias/1804/10/23/pdfs/GMD-1804-85.pdf#page=5","Abrir facsímil")</f>
        <v>Abrir facsímil</v>
      </c>
      <c r="K4510" s="15" t="s">
        <v>22</v>
      </c>
    </row>
    <row r="4511" spans="1:11" ht="42" customHeight="1">
      <c r="A4511" s="4" t="s">
        <v>10765</v>
      </c>
      <c r="B4511" s="5" t="s">
        <v>10766</v>
      </c>
      <c r="C4511" s="5" t="s">
        <v>27</v>
      </c>
      <c r="D4511" s="5" t="s">
        <v>28</v>
      </c>
      <c r="E4511" s="5" t="s">
        <v>251</v>
      </c>
      <c r="F4511" s="9">
        <v>79</v>
      </c>
      <c r="G4511" s="9">
        <v>879</v>
      </c>
      <c r="H4511" s="5" t="s">
        <v>20</v>
      </c>
      <c r="I4511" s="5" t="s">
        <v>10767</v>
      </c>
      <c r="J4511" s="12" t="str">
        <f>HYPERLINK("https://www.boe.es/gazeta/dias/1804/10/02/pdfs/GMD-1804-79.pdf#page=9","Abrir facsímil")</f>
        <v>Abrir facsímil</v>
      </c>
      <c r="K4511" s="15" t="s">
        <v>22</v>
      </c>
    </row>
    <row r="4512" spans="1:11" ht="42" customHeight="1">
      <c r="A4512" s="4" t="s">
        <v>10768</v>
      </c>
      <c r="B4512" s="5" t="s">
        <v>10769</v>
      </c>
      <c r="C4512" s="5" t="s">
        <v>120</v>
      </c>
      <c r="D4512" s="5" t="s">
        <v>121</v>
      </c>
      <c r="E4512" s="5" t="s">
        <v>33</v>
      </c>
      <c r="F4512" s="9">
        <v>48</v>
      </c>
      <c r="G4512" s="9" t="s">
        <v>98</v>
      </c>
      <c r="H4512" s="5" t="s">
        <v>20</v>
      </c>
      <c r="I4512" s="5" t="s">
        <v>10770</v>
      </c>
      <c r="J4512" s="12" t="str">
        <f>HYPERLINK("https://www.boe.es/gazeta/dias/1804/06/15/pdfs/GMD-C-1804-48.pdf#page=1","Abrir facsímil")</f>
        <v>Abrir facsímil</v>
      </c>
      <c r="K4512" s="15" t="s">
        <v>22</v>
      </c>
    </row>
    <row r="4513" spans="1:11" ht="42" customHeight="1">
      <c r="A4513" s="4" t="s">
        <v>10771</v>
      </c>
      <c r="B4513" s="5" t="s">
        <v>10771</v>
      </c>
      <c r="C4513" s="5" t="s">
        <v>57</v>
      </c>
      <c r="D4513" s="5" t="s">
        <v>58</v>
      </c>
      <c r="E4513" s="5" t="s">
        <v>576</v>
      </c>
      <c r="F4513" s="9">
        <v>85</v>
      </c>
      <c r="G4513" s="9">
        <v>933</v>
      </c>
      <c r="H4513" s="5" t="s">
        <v>20</v>
      </c>
      <c r="I4513" s="5" t="s">
        <v>10772</v>
      </c>
      <c r="J4513" s="12" t="str">
        <f>HYPERLINK("https://www.boe.es/gazeta/dias/1804/10/23/pdfs/GMD-1804-85.pdf#page=3","Abrir facsímil")</f>
        <v>Abrir facsímil</v>
      </c>
      <c r="K4513" s="15" t="s">
        <v>22</v>
      </c>
    </row>
    <row r="4514" spans="1:11" ht="42" customHeight="1">
      <c r="A4514" s="4" t="s">
        <v>10773</v>
      </c>
      <c r="B4514" s="5" t="s">
        <v>10774</v>
      </c>
      <c r="C4514" s="5" t="s">
        <v>57</v>
      </c>
      <c r="D4514" s="5" t="s">
        <v>58</v>
      </c>
      <c r="E4514" s="5" t="s">
        <v>317</v>
      </c>
      <c r="F4514" s="9">
        <v>56</v>
      </c>
      <c r="G4514" s="9">
        <v>618</v>
      </c>
      <c r="H4514" s="5" t="s">
        <v>20</v>
      </c>
      <c r="I4514" s="5" t="s">
        <v>10775</v>
      </c>
      <c r="J4514" s="12" t="str">
        <f>HYPERLINK("https://www.boe.es/gazeta/dias/1804/07/13/pdfs/GMD-1804-56.pdf#page=4","Abrir facsímil")</f>
        <v>Abrir facsímil</v>
      </c>
      <c r="K4514" s="15" t="s">
        <v>22</v>
      </c>
    </row>
    <row r="4515" spans="1:11" ht="42" customHeight="1">
      <c r="A4515" s="4" t="s">
        <v>10776</v>
      </c>
      <c r="B4515" s="5" t="s">
        <v>10776</v>
      </c>
      <c r="C4515" s="5" t="s">
        <v>57</v>
      </c>
      <c r="D4515" s="5" t="s">
        <v>58</v>
      </c>
      <c r="E4515" s="5" t="s">
        <v>37</v>
      </c>
      <c r="F4515" s="9">
        <v>29</v>
      </c>
      <c r="G4515" s="9">
        <v>313</v>
      </c>
      <c r="H4515" s="5" t="s">
        <v>20</v>
      </c>
      <c r="I4515" s="5" t="s">
        <v>10777</v>
      </c>
      <c r="J4515" s="12" t="str">
        <f>HYPERLINK("https://www.boe.es/gazeta/dias/1804/04/10/pdfs/GMD-1804-29.pdf#page=3","Abrir facsímil")</f>
        <v>Abrir facsímil</v>
      </c>
      <c r="K4515" s="15" t="s">
        <v>22</v>
      </c>
    </row>
    <row r="4516" spans="1:11" ht="42" customHeight="1">
      <c r="A4516" s="4" t="s">
        <v>10776</v>
      </c>
      <c r="B4516" s="5" t="s">
        <v>10776</v>
      </c>
      <c r="C4516" s="5" t="s">
        <v>57</v>
      </c>
      <c r="D4516" s="5" t="s">
        <v>58</v>
      </c>
      <c r="E4516" s="5" t="s">
        <v>23</v>
      </c>
      <c r="F4516" s="9">
        <v>91</v>
      </c>
      <c r="G4516" s="9">
        <v>1003</v>
      </c>
      <c r="H4516" s="5" t="s">
        <v>20</v>
      </c>
      <c r="I4516" s="5" t="s">
        <v>10778</v>
      </c>
      <c r="J4516" s="12" t="str">
        <f>HYPERLINK("https://www.boe.es/gazeta/dias/1804/11/13/pdfs/GMD-1804-91.pdf#page=3","Abrir facsímil")</f>
        <v>Abrir facsímil</v>
      </c>
      <c r="K4516" s="15" t="s">
        <v>22</v>
      </c>
    </row>
    <row r="4517" spans="1:11" ht="42" customHeight="1">
      <c r="A4517" s="4" t="s">
        <v>10779</v>
      </c>
      <c r="B4517" s="5" t="s">
        <v>10780</v>
      </c>
      <c r="C4517" s="5" t="s">
        <v>27</v>
      </c>
      <c r="D4517" s="5" t="s">
        <v>28</v>
      </c>
      <c r="E4517" s="5" t="s">
        <v>1337</v>
      </c>
      <c r="F4517" s="9">
        <v>7</v>
      </c>
      <c r="G4517" s="9">
        <v>71</v>
      </c>
      <c r="H4517" s="5" t="s">
        <v>20</v>
      </c>
      <c r="I4517" s="5" t="s">
        <v>10781</v>
      </c>
      <c r="J4517" s="12" t="str">
        <f>HYPERLINK("https://www.boe.es/gazeta/dias/1804/01/24/pdfs/GMD-1804-7.pdf#page=11","Abrir facsímil")</f>
        <v>Abrir facsímil</v>
      </c>
      <c r="K4517" s="15" t="s">
        <v>22</v>
      </c>
    </row>
    <row r="4518" spans="1:11" ht="42" customHeight="1">
      <c r="A4518" s="4" t="s">
        <v>10782</v>
      </c>
      <c r="B4518" s="5" t="s">
        <v>10783</v>
      </c>
      <c r="C4518" s="5" t="s">
        <v>65</v>
      </c>
      <c r="D4518" s="5" t="s">
        <v>66</v>
      </c>
      <c r="E4518" s="5" t="s">
        <v>147</v>
      </c>
      <c r="F4518" s="9">
        <v>77</v>
      </c>
      <c r="G4518" s="9">
        <v>858</v>
      </c>
      <c r="H4518" s="5" t="s">
        <v>20</v>
      </c>
      <c r="I4518" s="5" t="s">
        <v>10784</v>
      </c>
      <c r="J4518" s="12" t="str">
        <f>HYPERLINK("https://www.boe.es/gazeta/dias/1804/09/25/pdfs/GMD-1804-77.pdf#page=8","Abrir facsímil")</f>
        <v>Abrir facsímil</v>
      </c>
      <c r="K4518" s="15" t="s">
        <v>22</v>
      </c>
    </row>
    <row r="4519" spans="1:11" ht="42" customHeight="1">
      <c r="A4519" s="4" t="s">
        <v>10785</v>
      </c>
      <c r="B4519" s="5" t="s">
        <v>10785</v>
      </c>
      <c r="C4519" s="5" t="s">
        <v>57</v>
      </c>
      <c r="D4519" s="5" t="s">
        <v>58</v>
      </c>
      <c r="E4519" s="5" t="s">
        <v>453</v>
      </c>
      <c r="F4519" s="9">
        <v>33</v>
      </c>
      <c r="G4519" s="9">
        <v>362</v>
      </c>
      <c r="H4519" s="5" t="s">
        <v>20</v>
      </c>
      <c r="I4519" s="5" t="s">
        <v>10786</v>
      </c>
      <c r="J4519" s="12" t="str">
        <f>HYPERLINK("https://www.boe.es/gazeta/dias/1804/04/24/pdfs/GMD-1804-33.pdf#page=4","Abrir facsímil")</f>
        <v>Abrir facsímil</v>
      </c>
      <c r="K4519" s="15" t="s">
        <v>22</v>
      </c>
    </row>
    <row r="4520" spans="1:11" ht="42" customHeight="1">
      <c r="A4520" s="4" t="s">
        <v>10787</v>
      </c>
      <c r="B4520" s="5" t="s">
        <v>10788</v>
      </c>
      <c r="C4520" s="5" t="s">
        <v>27</v>
      </c>
      <c r="D4520" s="5" t="s">
        <v>28</v>
      </c>
      <c r="E4520" s="5" t="s">
        <v>298</v>
      </c>
      <c r="F4520" s="9">
        <v>10</v>
      </c>
      <c r="G4520" s="9">
        <v>111</v>
      </c>
      <c r="H4520" s="5" t="s">
        <v>20</v>
      </c>
      <c r="I4520" s="5" t="s">
        <v>10789</v>
      </c>
      <c r="J4520" s="12" t="str">
        <f>HYPERLINK("https://www.boe.es/gazeta/dias/1804/02/03/pdfs/GMD-1804-10.pdf#page=11","Abrir facsímil")</f>
        <v>Abrir facsímil</v>
      </c>
      <c r="K4520" s="15" t="s">
        <v>22</v>
      </c>
    </row>
    <row r="4521" spans="1:11" ht="42" customHeight="1">
      <c r="A4521" s="4" t="s">
        <v>10790</v>
      </c>
      <c r="B4521" s="5" t="s">
        <v>10791</v>
      </c>
      <c r="C4521" s="5" t="s">
        <v>27</v>
      </c>
      <c r="D4521" s="5" t="s">
        <v>28</v>
      </c>
      <c r="E4521" s="5" t="s">
        <v>47</v>
      </c>
      <c r="F4521" s="9">
        <v>78</v>
      </c>
      <c r="G4521" s="9">
        <v>868</v>
      </c>
      <c r="H4521" s="5" t="s">
        <v>20</v>
      </c>
      <c r="I4521" s="5" t="s">
        <v>10792</v>
      </c>
      <c r="J4521" s="12" t="str">
        <f>HYPERLINK("https://www.boe.es/gazeta/dias/1804/09/28/pdfs/GMD-1804-78.pdf#page=6","Abrir facsímil")</f>
        <v>Abrir facsímil</v>
      </c>
      <c r="K4521" s="15" t="s">
        <v>22</v>
      </c>
    </row>
    <row r="4522" spans="1:11" ht="42" customHeight="1">
      <c r="A4522" s="4" t="s">
        <v>10793</v>
      </c>
      <c r="B4522" s="5" t="s">
        <v>10794</v>
      </c>
      <c r="C4522" s="5" t="s">
        <v>65</v>
      </c>
      <c r="D4522" s="5" t="s">
        <v>66</v>
      </c>
      <c r="E4522" s="5" t="s">
        <v>178</v>
      </c>
      <c r="F4522" s="9">
        <v>20</v>
      </c>
      <c r="G4522" s="9">
        <v>220</v>
      </c>
      <c r="H4522" s="5" t="s">
        <v>20</v>
      </c>
      <c r="I4522" s="5" t="s">
        <v>10795</v>
      </c>
      <c r="J4522" s="12" t="str">
        <f>HYPERLINK("https://www.boe.es/gazeta/dias/1804/03/09/pdfs/GMD-1804-20.pdf#page=8","Abrir facsímil")</f>
        <v>Abrir facsímil</v>
      </c>
      <c r="K4522" s="15" t="s">
        <v>22</v>
      </c>
    </row>
    <row r="4523" spans="1:11" ht="42" customHeight="1">
      <c r="A4523" s="4" t="s">
        <v>10796</v>
      </c>
      <c r="B4523" s="5" t="s">
        <v>10797</v>
      </c>
      <c r="C4523" s="5" t="s">
        <v>27</v>
      </c>
      <c r="D4523" s="5" t="s">
        <v>28</v>
      </c>
      <c r="E4523" s="5" t="s">
        <v>91</v>
      </c>
      <c r="F4523" s="9">
        <v>72</v>
      </c>
      <c r="G4523" s="9">
        <v>806</v>
      </c>
      <c r="H4523" s="5" t="s">
        <v>20</v>
      </c>
      <c r="I4523" s="5" t="s">
        <v>10798</v>
      </c>
      <c r="J4523" s="12" t="str">
        <f>HYPERLINK("https://www.boe.es/gazeta/dias/1804/09/07/pdfs/GMD-1804-72.pdf#page=8","Abrir facsímil")</f>
        <v>Abrir facsímil</v>
      </c>
      <c r="K4523" s="15" t="s">
        <v>22</v>
      </c>
    </row>
    <row r="4524" spans="1:11" ht="42" customHeight="1">
      <c r="A4524" s="4" t="s">
        <v>10799</v>
      </c>
      <c r="B4524" s="5" t="s">
        <v>10800</v>
      </c>
      <c r="C4524" s="5" t="s">
        <v>85</v>
      </c>
      <c r="D4524" s="5" t="s">
        <v>86</v>
      </c>
      <c r="E4524" s="5" t="s">
        <v>208</v>
      </c>
      <c r="F4524" s="9">
        <v>97</v>
      </c>
      <c r="G4524" s="9">
        <v>1084</v>
      </c>
      <c r="H4524" s="5" t="s">
        <v>20</v>
      </c>
      <c r="I4524" s="5" t="s">
        <v>10801</v>
      </c>
      <c r="J4524" s="12" t="str">
        <f>HYPERLINK("https://www.boe.es/gazeta/dias/1804/12/04/pdfs/GMD-1804-97.pdf#page=12","Abrir facsímil")</f>
        <v>Abrir facsímil</v>
      </c>
      <c r="K4524" s="15" t="s">
        <v>22</v>
      </c>
    </row>
    <row r="4525" spans="1:11" ht="42" customHeight="1">
      <c r="A4525" s="4" t="s">
        <v>10802</v>
      </c>
      <c r="B4525" s="5" t="s">
        <v>10803</v>
      </c>
      <c r="C4525" s="5" t="s">
        <v>27</v>
      </c>
      <c r="D4525" s="5" t="s">
        <v>28</v>
      </c>
      <c r="E4525" s="5" t="s">
        <v>490</v>
      </c>
      <c r="F4525" s="9">
        <v>100</v>
      </c>
      <c r="G4525" s="9">
        <v>1119</v>
      </c>
      <c r="H4525" s="5" t="s">
        <v>20</v>
      </c>
      <c r="I4525" s="5" t="s">
        <v>10804</v>
      </c>
      <c r="J4525" s="12" t="str">
        <f>HYPERLINK("https://www.boe.es/gazeta/dias/1804/12/14/pdfs/GMD-1804-100.pdf#page=11","Abrir facsímil")</f>
        <v>Abrir facsímil</v>
      </c>
      <c r="K4525" s="15" t="s">
        <v>22</v>
      </c>
    </row>
    <row r="4526" spans="1:11" ht="42" customHeight="1">
      <c r="A4526" s="4" t="s">
        <v>10805</v>
      </c>
      <c r="B4526" s="5" t="s">
        <v>10806</v>
      </c>
      <c r="C4526" s="5" t="s">
        <v>27</v>
      </c>
      <c r="D4526" s="5" t="s">
        <v>28</v>
      </c>
      <c r="E4526" s="5" t="s">
        <v>222</v>
      </c>
      <c r="F4526" s="9">
        <v>4</v>
      </c>
      <c r="G4526" s="9">
        <v>38</v>
      </c>
      <c r="H4526" s="5" t="s">
        <v>20</v>
      </c>
      <c r="I4526" s="5" t="s">
        <v>10807</v>
      </c>
      <c r="J4526" s="12" t="str">
        <f>HYPERLINK("https://www.boe.es/gazeta/dias/1804/01/13/pdfs/GMD-1804-4.pdf#page=10","Abrir facsímil")</f>
        <v>Abrir facsímil</v>
      </c>
      <c r="K4526" s="15" t="s">
        <v>22</v>
      </c>
    </row>
    <row r="4527" spans="1:11" ht="42" customHeight="1">
      <c r="A4527" s="4" t="s">
        <v>10808</v>
      </c>
      <c r="B4527" s="5" t="s">
        <v>10808</v>
      </c>
      <c r="C4527" s="5" t="s">
        <v>17</v>
      </c>
      <c r="D4527" s="5" t="s">
        <v>18</v>
      </c>
      <c r="E4527" s="5" t="s">
        <v>191</v>
      </c>
      <c r="F4527" s="9">
        <v>101</v>
      </c>
      <c r="G4527" s="9">
        <v>1129</v>
      </c>
      <c r="H4527" s="5" t="s">
        <v>20</v>
      </c>
      <c r="I4527" s="5" t="s">
        <v>10809</v>
      </c>
      <c r="J4527" s="12" t="str">
        <f>HYPERLINK("https://www.boe.es/gazeta/dias/1804/12/18/pdfs/GMD-1804-101.pdf#page=9","Abrir facsímil")</f>
        <v>Abrir facsímil</v>
      </c>
      <c r="K4527" s="15" t="s">
        <v>22</v>
      </c>
    </row>
    <row r="4528" spans="1:11" ht="42" customHeight="1">
      <c r="A4528" s="4" t="s">
        <v>10810</v>
      </c>
      <c r="B4528" s="5" t="s">
        <v>10811</v>
      </c>
      <c r="C4528" s="5" t="s">
        <v>27</v>
      </c>
      <c r="D4528" s="5" t="s">
        <v>28</v>
      </c>
      <c r="E4528" s="5" t="s">
        <v>670</v>
      </c>
      <c r="F4528" s="9">
        <v>41</v>
      </c>
      <c r="G4528" s="9">
        <v>458</v>
      </c>
      <c r="H4528" s="5" t="s">
        <v>20</v>
      </c>
      <c r="I4528" s="5" t="s">
        <v>10812</v>
      </c>
      <c r="J4528" s="12" t="str">
        <f>HYPERLINK("https://www.boe.es/gazeta/dias/1804/05/22/pdfs/GMD-1804-41.pdf#page=8","Abrir facsímil")</f>
        <v>Abrir facsímil</v>
      </c>
      <c r="K4528" s="15" t="s">
        <v>22</v>
      </c>
    </row>
    <row r="4529" spans="1:11" ht="42" customHeight="1">
      <c r="A4529" s="4" t="s">
        <v>10813</v>
      </c>
      <c r="B4529" s="5" t="s">
        <v>10814</v>
      </c>
      <c r="C4529" s="5" t="s">
        <v>27</v>
      </c>
      <c r="D4529" s="5" t="s">
        <v>28</v>
      </c>
      <c r="E4529" s="5" t="s">
        <v>41</v>
      </c>
      <c r="F4529" s="9">
        <v>24</v>
      </c>
      <c r="G4529" s="9">
        <v>276</v>
      </c>
      <c r="H4529" s="5" t="s">
        <v>20</v>
      </c>
      <c r="I4529" s="5" t="s">
        <v>10815</v>
      </c>
      <c r="J4529" s="12" t="str">
        <f>HYPERLINK("https://www.boe.es/gazeta/dias/1804/03/23/pdfs/GMD-1804-24.pdf#page=10","Abrir facsímil")</f>
        <v>Abrir facsímil</v>
      </c>
      <c r="K4529" s="15" t="s">
        <v>22</v>
      </c>
    </row>
    <row r="4530" spans="1:11" ht="42" customHeight="1">
      <c r="A4530" s="4" t="s">
        <v>10816</v>
      </c>
      <c r="B4530" s="5" t="s">
        <v>10817</v>
      </c>
      <c r="C4530" s="5" t="s">
        <v>65</v>
      </c>
      <c r="D4530" s="5" t="s">
        <v>66</v>
      </c>
      <c r="E4530" s="5" t="s">
        <v>43</v>
      </c>
      <c r="F4530" s="9">
        <v>84</v>
      </c>
      <c r="G4530" s="9">
        <v>929</v>
      </c>
      <c r="H4530" s="5" t="s">
        <v>20</v>
      </c>
      <c r="I4530" s="5" t="s">
        <v>10818</v>
      </c>
      <c r="J4530" s="12" t="str">
        <f>HYPERLINK("https://www.boe.es/gazeta/dias/1804/10/19/pdfs/GMD-1804-84.pdf#page=7","Abrir facsímil")</f>
        <v>Abrir facsímil</v>
      </c>
      <c r="K4530" s="15" t="s">
        <v>22</v>
      </c>
    </row>
    <row r="4531" spans="1:11" ht="42" customHeight="1">
      <c r="A4531" s="4" t="s">
        <v>10819</v>
      </c>
      <c r="B4531" s="5" t="s">
        <v>10820</v>
      </c>
      <c r="C4531" s="5" t="s">
        <v>27</v>
      </c>
      <c r="D4531" s="5" t="s">
        <v>28</v>
      </c>
      <c r="E4531" s="5" t="s">
        <v>526</v>
      </c>
      <c r="F4531" s="9">
        <v>95</v>
      </c>
      <c r="G4531" s="9">
        <v>1057</v>
      </c>
      <c r="H4531" s="5" t="s">
        <v>20</v>
      </c>
      <c r="I4531" s="5" t="s">
        <v>10821</v>
      </c>
      <c r="J4531" s="12" t="str">
        <f>HYPERLINK("https://www.boe.es/gazeta/dias/1804/11/27/pdfs/GMD-1804-95.pdf#page=9","Abrir facsímil")</f>
        <v>Abrir facsímil</v>
      </c>
      <c r="K4531" s="15" t="s">
        <v>22</v>
      </c>
    </row>
    <row r="4532" spans="1:11" ht="42" customHeight="1">
      <c r="A4532" s="4" t="s">
        <v>10822</v>
      </c>
      <c r="B4532" s="5" t="s">
        <v>10823</v>
      </c>
      <c r="C4532" s="5" t="s">
        <v>198</v>
      </c>
      <c r="D4532" s="5" t="s">
        <v>66</v>
      </c>
      <c r="E4532" s="5" t="s">
        <v>41</v>
      </c>
      <c r="F4532" s="9">
        <v>24</v>
      </c>
      <c r="G4532" s="9">
        <v>277</v>
      </c>
      <c r="H4532" s="5" t="s">
        <v>20</v>
      </c>
      <c r="I4532" s="5" t="s">
        <v>10824</v>
      </c>
      <c r="J4532" s="12" t="str">
        <f>HYPERLINK("https://www.boe.es/gazeta/dias/1804/03/23/pdfs/GMD-1804-24.pdf#page=11","Abrir facsímil")</f>
        <v>Abrir facsímil</v>
      </c>
      <c r="K4532" s="15" t="s">
        <v>22</v>
      </c>
    </row>
    <row r="4533" spans="1:11" ht="42" customHeight="1">
      <c r="A4533" s="4" t="s">
        <v>10825</v>
      </c>
      <c r="B4533" s="5" t="s">
        <v>10826</v>
      </c>
      <c r="C4533" s="5" t="s">
        <v>198</v>
      </c>
      <c r="D4533" s="5" t="s">
        <v>66</v>
      </c>
      <c r="E4533" s="5" t="s">
        <v>41</v>
      </c>
      <c r="F4533" s="9">
        <v>24</v>
      </c>
      <c r="G4533" s="9">
        <v>277</v>
      </c>
      <c r="H4533" s="5" t="s">
        <v>20</v>
      </c>
      <c r="I4533" s="5" t="s">
        <v>10827</v>
      </c>
      <c r="J4533" s="12" t="str">
        <f>HYPERLINK("https://www.boe.es/gazeta/dias/1804/03/23/pdfs/GMD-1804-24.pdf#page=11","Abrir facsímil")</f>
        <v>Abrir facsímil</v>
      </c>
      <c r="K4533" s="15" t="s">
        <v>22</v>
      </c>
    </row>
    <row r="4534" spans="1:11" ht="42" customHeight="1">
      <c r="A4534" s="4" t="s">
        <v>10828</v>
      </c>
      <c r="B4534" s="5" t="s">
        <v>10829</v>
      </c>
      <c r="C4534" s="5" t="s">
        <v>27</v>
      </c>
      <c r="D4534" s="5" t="s">
        <v>28</v>
      </c>
      <c r="E4534" s="5" t="s">
        <v>140</v>
      </c>
      <c r="F4534" s="9">
        <v>39</v>
      </c>
      <c r="G4534" s="9">
        <v>436</v>
      </c>
      <c r="H4534" s="5" t="s">
        <v>20</v>
      </c>
      <c r="I4534" s="5" t="s">
        <v>10830</v>
      </c>
      <c r="J4534" s="12" t="str">
        <f>HYPERLINK("https://www.boe.es/gazeta/dias/1804/05/15/pdfs/GMD-1804-39.pdf#page=10","Abrir facsímil")</f>
        <v>Abrir facsímil</v>
      </c>
      <c r="K4534" s="15" t="s">
        <v>22</v>
      </c>
    </row>
    <row r="4535" spans="1:11" ht="42" customHeight="1">
      <c r="A4535" s="4" t="s">
        <v>10831</v>
      </c>
      <c r="B4535" s="5" t="s">
        <v>10832</v>
      </c>
      <c r="C4535" s="5" t="s">
        <v>57</v>
      </c>
      <c r="D4535" s="5" t="s">
        <v>58</v>
      </c>
      <c r="E4535" s="5" t="s">
        <v>41</v>
      </c>
      <c r="F4535" s="9">
        <v>24</v>
      </c>
      <c r="G4535" s="9">
        <v>273</v>
      </c>
      <c r="H4535" s="5" t="s">
        <v>20</v>
      </c>
      <c r="I4535" s="5" t="s">
        <v>10833</v>
      </c>
      <c r="J4535" s="12" t="str">
        <f>HYPERLINK("https://www.boe.es/gazeta/dias/1804/03/23/pdfs/GMD-1804-24.pdf#page=7","Abrir facsímil")</f>
        <v>Abrir facsímil</v>
      </c>
      <c r="K4535" s="15" t="s">
        <v>22</v>
      </c>
    </row>
    <row r="4536" spans="1:11" ht="42" customHeight="1">
      <c r="A4536" s="4" t="s">
        <v>10834</v>
      </c>
      <c r="B4536" s="5" t="s">
        <v>10835</v>
      </c>
      <c r="C4536" s="5" t="s">
        <v>27</v>
      </c>
      <c r="D4536" s="5" t="s">
        <v>28</v>
      </c>
      <c r="E4536" s="5" t="s">
        <v>212</v>
      </c>
      <c r="F4536" s="9">
        <v>89</v>
      </c>
      <c r="G4536" s="9">
        <v>991</v>
      </c>
      <c r="H4536" s="5" t="s">
        <v>20</v>
      </c>
      <c r="I4536" s="5" t="s">
        <v>10836</v>
      </c>
      <c r="J4536" s="12" t="str">
        <f>HYPERLINK("https://www.boe.es/gazeta/dias/1804/11/06/pdfs/GMD-1804-89.pdf#page=11","Abrir facsímil")</f>
        <v>Abrir facsímil</v>
      </c>
      <c r="K4536" s="15" t="s">
        <v>22</v>
      </c>
    </row>
    <row r="4537" spans="1:11" ht="42" customHeight="1">
      <c r="A4537" s="4" t="s">
        <v>10837</v>
      </c>
      <c r="B4537" s="5" t="s">
        <v>10838</v>
      </c>
      <c r="C4537" s="5" t="s">
        <v>57</v>
      </c>
      <c r="D4537" s="5" t="s">
        <v>58</v>
      </c>
      <c r="E4537" s="5" t="s">
        <v>106</v>
      </c>
      <c r="F4537" s="9">
        <v>34</v>
      </c>
      <c r="G4537" s="9">
        <v>372</v>
      </c>
      <c r="H4537" s="5" t="s">
        <v>20</v>
      </c>
      <c r="I4537" s="5" t="s">
        <v>10839</v>
      </c>
      <c r="J4537" s="12" t="str">
        <f>HYPERLINK("https://www.boe.es/gazeta/dias/1804/04/27/pdfs/GMD-1804-34.pdf#page=2","Abrir facsímil")</f>
        <v>Abrir facsímil</v>
      </c>
      <c r="K4537" s="15" t="s">
        <v>22</v>
      </c>
    </row>
    <row r="4538" spans="1:11" ht="42" customHeight="1">
      <c r="A4538" s="4" t="s">
        <v>10840</v>
      </c>
      <c r="B4538" s="5" t="s">
        <v>10840</v>
      </c>
      <c r="C4538" s="5" t="s">
        <v>17</v>
      </c>
      <c r="D4538" s="5" t="s">
        <v>18</v>
      </c>
      <c r="E4538" s="5" t="s">
        <v>41</v>
      </c>
      <c r="F4538" s="9">
        <v>24</v>
      </c>
      <c r="G4538" s="9">
        <v>277</v>
      </c>
      <c r="H4538" s="5" t="s">
        <v>20</v>
      </c>
      <c r="I4538" s="5" t="s">
        <v>10841</v>
      </c>
      <c r="J4538" s="12" t="str">
        <f>HYPERLINK("https://www.boe.es/gazeta/dias/1804/03/23/pdfs/GMD-1804-24.pdf#page=11","Abrir facsímil")</f>
        <v>Abrir facsímil</v>
      </c>
      <c r="K4538" s="15" t="s">
        <v>22</v>
      </c>
    </row>
    <row r="4539" spans="1:11" ht="42" customHeight="1">
      <c r="A4539" s="4" t="s">
        <v>10842</v>
      </c>
      <c r="B4539" s="5" t="s">
        <v>10843</v>
      </c>
      <c r="C4539" s="5" t="s">
        <v>198</v>
      </c>
      <c r="D4539" s="5" t="s">
        <v>66</v>
      </c>
      <c r="E4539" s="5" t="s">
        <v>59</v>
      </c>
      <c r="F4539" s="9">
        <v>55</v>
      </c>
      <c r="G4539" s="9">
        <v>613</v>
      </c>
      <c r="H4539" s="5" t="s">
        <v>20</v>
      </c>
      <c r="I4539" s="5" t="s">
        <v>10844</v>
      </c>
      <c r="J4539" s="12" t="str">
        <f>HYPERLINK("https://www.boe.es/gazeta/dias/1804/07/10/pdfs/GMD-1804-55.pdf#page=11","Abrir facsímil")</f>
        <v>Abrir facsímil</v>
      </c>
      <c r="K4539" s="15" t="s">
        <v>22</v>
      </c>
    </row>
    <row r="4540" spans="1:11" ht="42" customHeight="1">
      <c r="A4540" s="4" t="s">
        <v>10845</v>
      </c>
      <c r="B4540" s="5" t="s">
        <v>10846</v>
      </c>
      <c r="C4540" s="5" t="s">
        <v>17</v>
      </c>
      <c r="D4540" s="5" t="s">
        <v>18</v>
      </c>
      <c r="E4540" s="5" t="s">
        <v>421</v>
      </c>
      <c r="F4540" s="9">
        <v>47</v>
      </c>
      <c r="G4540" s="9">
        <v>527</v>
      </c>
      <c r="H4540" s="5" t="s">
        <v>20</v>
      </c>
      <c r="I4540" s="5" t="s">
        <v>10847</v>
      </c>
      <c r="J4540" s="12" t="str">
        <f>HYPERLINK("https://www.boe.es/gazeta/dias/1804/06/12/pdfs/GMD-1804-47.pdf#page=9","Abrir facsímil")</f>
        <v>Abrir facsímil</v>
      </c>
      <c r="K4540" s="15" t="s">
        <v>22</v>
      </c>
    </row>
    <row r="4541" spans="1:11" ht="42" customHeight="1">
      <c r="A4541" s="4" t="s">
        <v>10848</v>
      </c>
      <c r="B4541" s="5" t="s">
        <v>10849</v>
      </c>
      <c r="C4541" s="5" t="s">
        <v>27</v>
      </c>
      <c r="D4541" s="5" t="s">
        <v>28</v>
      </c>
      <c r="E4541" s="5" t="s">
        <v>699</v>
      </c>
      <c r="F4541" s="9">
        <v>2</v>
      </c>
      <c r="G4541" s="9">
        <v>18</v>
      </c>
      <c r="H4541" s="5" t="s">
        <v>20</v>
      </c>
      <c r="I4541" s="5" t="s">
        <v>10850</v>
      </c>
      <c r="J4541" s="12" t="str">
        <f>HYPERLINK("https://www.boe.es/gazeta/dias/1804/01/06/pdfs/GMD-1804-2.pdf#page=6","Abrir facsímil")</f>
        <v>Abrir facsímil</v>
      </c>
      <c r="K4541" s="15" t="s">
        <v>22</v>
      </c>
    </row>
    <row r="4542" spans="1:11" ht="42" customHeight="1">
      <c r="A4542" s="4" t="s">
        <v>10851</v>
      </c>
      <c r="B4542" s="5" t="s">
        <v>10851</v>
      </c>
      <c r="C4542" s="5" t="s">
        <v>65</v>
      </c>
      <c r="D4542" s="5" t="s">
        <v>66</v>
      </c>
      <c r="E4542" s="5" t="s">
        <v>67</v>
      </c>
      <c r="F4542" s="9">
        <v>59</v>
      </c>
      <c r="G4542" s="9">
        <v>656</v>
      </c>
      <c r="H4542" s="5" t="s">
        <v>20</v>
      </c>
      <c r="I4542" s="5" t="s">
        <v>10852</v>
      </c>
      <c r="J4542" s="12" t="str">
        <f>HYPERLINK("https://www.boe.es/gazeta/dias/1804/07/24/pdfs/GMD-1804-59.pdf#page=10","Abrir facsímil")</f>
        <v>Abrir facsímil</v>
      </c>
      <c r="K4542" s="15" t="s">
        <v>22</v>
      </c>
    </row>
    <row r="4543" spans="1:11" ht="42" customHeight="1">
      <c r="A4543" s="4" t="s">
        <v>10853</v>
      </c>
      <c r="B4543" s="5" t="s">
        <v>10854</v>
      </c>
      <c r="C4543" s="5" t="s">
        <v>65</v>
      </c>
      <c r="D4543" s="5" t="s">
        <v>66</v>
      </c>
      <c r="E4543" s="5" t="s">
        <v>950</v>
      </c>
      <c r="F4543" s="9">
        <v>90</v>
      </c>
      <c r="G4543" s="9">
        <v>998</v>
      </c>
      <c r="H4543" s="5" t="s">
        <v>20</v>
      </c>
      <c r="I4543" s="5" t="s">
        <v>10855</v>
      </c>
      <c r="J4543" s="12" t="str">
        <f>HYPERLINK("https://www.boe.es/gazeta/dias/1804/11/09/pdfs/GMD-1804-90.pdf#page=6","Abrir facsímil")</f>
        <v>Abrir facsímil</v>
      </c>
      <c r="K4543" s="15" t="s">
        <v>22</v>
      </c>
    </row>
    <row r="4544" spans="1:11" ht="42" customHeight="1">
      <c r="A4544" s="4" t="s">
        <v>10856</v>
      </c>
      <c r="B4544" s="5" t="s">
        <v>10857</v>
      </c>
      <c r="C4544" s="5" t="s">
        <v>57</v>
      </c>
      <c r="D4544" s="5" t="s">
        <v>58</v>
      </c>
      <c r="E4544" s="5" t="s">
        <v>308</v>
      </c>
      <c r="F4544" s="9">
        <v>96</v>
      </c>
      <c r="G4544" s="9">
        <v>1064</v>
      </c>
      <c r="H4544" s="5" t="s">
        <v>20</v>
      </c>
      <c r="I4544" s="5" t="s">
        <v>10858</v>
      </c>
      <c r="J4544" s="12" t="str">
        <f>HYPERLINK("https://www.boe.es/gazeta/dias/1804/11/30/pdfs/GMD-1804-96.pdf#page=4","Abrir facsímil")</f>
        <v>Abrir facsímil</v>
      </c>
      <c r="K4544" s="15" t="s">
        <v>22</v>
      </c>
    </row>
    <row r="4545" spans="1:11" ht="42" customHeight="1">
      <c r="A4545" s="4" t="s">
        <v>10859</v>
      </c>
      <c r="B4545" s="5" t="s">
        <v>10860</v>
      </c>
      <c r="C4545" s="5" t="s">
        <v>27</v>
      </c>
      <c r="D4545" s="5" t="s">
        <v>28</v>
      </c>
      <c r="E4545" s="5" t="s">
        <v>216</v>
      </c>
      <c r="F4545" s="9">
        <v>67</v>
      </c>
      <c r="G4545" s="9">
        <v>751</v>
      </c>
      <c r="H4545" s="5" t="s">
        <v>20</v>
      </c>
      <c r="I4545" s="5" t="s">
        <v>10861</v>
      </c>
      <c r="J4545" s="12" t="str">
        <f>HYPERLINK("https://www.boe.es/gazeta/dias/1804/08/21/pdfs/GMD-1804-67.pdf#page=9","Abrir facsímil")</f>
        <v>Abrir facsímil</v>
      </c>
      <c r="K4545" s="15" t="s">
        <v>22</v>
      </c>
    </row>
    <row r="4546" spans="1:11" ht="42" customHeight="1">
      <c r="A4546" s="4" t="s">
        <v>10862</v>
      </c>
      <c r="B4546" s="5" t="s">
        <v>10863</v>
      </c>
      <c r="C4546" s="5" t="s">
        <v>17</v>
      </c>
      <c r="D4546" s="5" t="s">
        <v>18</v>
      </c>
      <c r="E4546" s="5" t="s">
        <v>91</v>
      </c>
      <c r="F4546" s="9">
        <v>72</v>
      </c>
      <c r="G4546" s="9">
        <v>805</v>
      </c>
      <c r="H4546" s="5" t="s">
        <v>20</v>
      </c>
      <c r="I4546" s="5" t="s">
        <v>10864</v>
      </c>
      <c r="J4546" s="12" t="str">
        <f>HYPERLINK("https://www.boe.es/gazeta/dias/1804/09/07/pdfs/GMD-1804-72.pdf#page=7","Abrir facsímil")</f>
        <v>Abrir facsímil</v>
      </c>
      <c r="K4546" s="15" t="s">
        <v>22</v>
      </c>
    </row>
    <row r="4547" spans="1:11" ht="42" customHeight="1">
      <c r="A4547" s="4" t="s">
        <v>10865</v>
      </c>
      <c r="B4547" s="5" t="s">
        <v>10865</v>
      </c>
      <c r="C4547" s="5" t="s">
        <v>27</v>
      </c>
      <c r="D4547" s="5" t="s">
        <v>28</v>
      </c>
      <c r="E4547" s="5" t="s">
        <v>212</v>
      </c>
      <c r="F4547" s="9">
        <v>89</v>
      </c>
      <c r="G4547" s="9">
        <v>990</v>
      </c>
      <c r="H4547" s="5" t="s">
        <v>20</v>
      </c>
      <c r="I4547" s="5" t="s">
        <v>10866</v>
      </c>
      <c r="J4547" s="12" t="str">
        <f>HYPERLINK("https://www.boe.es/gazeta/dias/1804/11/06/pdfs/GMD-1804-89.pdf#page=10","Abrir facsímil")</f>
        <v>Abrir facsímil</v>
      </c>
      <c r="K4547" s="15" t="s">
        <v>22</v>
      </c>
    </row>
    <row r="4548" spans="1:11" ht="42" customHeight="1">
      <c r="A4548" s="4" t="s">
        <v>10867</v>
      </c>
      <c r="B4548" s="5" t="s">
        <v>10867</v>
      </c>
      <c r="C4548" s="5" t="s">
        <v>27</v>
      </c>
      <c r="D4548" s="5" t="s">
        <v>28</v>
      </c>
      <c r="E4548" s="5" t="s">
        <v>216</v>
      </c>
      <c r="F4548" s="9">
        <v>67</v>
      </c>
      <c r="G4548" s="9">
        <v>751</v>
      </c>
      <c r="H4548" s="5" t="s">
        <v>20</v>
      </c>
      <c r="I4548" s="5" t="s">
        <v>10868</v>
      </c>
      <c r="J4548" s="12" t="str">
        <f>HYPERLINK("https://www.boe.es/gazeta/dias/1804/08/21/pdfs/GMD-1804-67.pdf#page=9","Abrir facsímil")</f>
        <v>Abrir facsímil</v>
      </c>
      <c r="K4548" s="15" t="s">
        <v>22</v>
      </c>
    </row>
    <row r="4549" spans="1:11" ht="42" customHeight="1">
      <c r="A4549" s="4" t="s">
        <v>10869</v>
      </c>
      <c r="B4549" s="5" t="s">
        <v>10869</v>
      </c>
      <c r="C4549" s="5" t="s">
        <v>57</v>
      </c>
      <c r="D4549" s="5" t="s">
        <v>58</v>
      </c>
      <c r="E4549" s="5" t="s">
        <v>19</v>
      </c>
      <c r="F4549" s="9">
        <v>60</v>
      </c>
      <c r="G4549" s="9">
        <v>661</v>
      </c>
      <c r="H4549" s="5" t="s">
        <v>20</v>
      </c>
      <c r="I4549" s="5" t="s">
        <v>10870</v>
      </c>
      <c r="J4549" s="12" t="str">
        <f>HYPERLINK("https://www.boe.es/gazeta/dias/1804/07/27/pdfs/GMD-1804-60.pdf#page=3","Abrir facsímil")</f>
        <v>Abrir facsímil</v>
      </c>
      <c r="K4549" s="15" t="s">
        <v>22</v>
      </c>
    </row>
    <row r="4550" spans="1:11" ht="42" customHeight="1">
      <c r="A4550" s="4" t="s">
        <v>10869</v>
      </c>
      <c r="B4550" s="5" t="s">
        <v>10869</v>
      </c>
      <c r="C4550" s="5" t="s">
        <v>17</v>
      </c>
      <c r="D4550" s="5" t="s">
        <v>18</v>
      </c>
      <c r="E4550" s="5" t="s">
        <v>427</v>
      </c>
      <c r="F4550" s="9">
        <v>80</v>
      </c>
      <c r="G4550" s="9">
        <v>888</v>
      </c>
      <c r="H4550" s="5" t="s">
        <v>20</v>
      </c>
      <c r="I4550" s="5" t="s">
        <v>10871</v>
      </c>
      <c r="J4550" s="12" t="str">
        <f>HYPERLINK("https://www.boe.es/gazeta/dias/1804/10/05/pdfs/GMD-1804-80.pdf#page=6","Abrir facsímil")</f>
        <v>Abrir facsímil</v>
      </c>
      <c r="K4550" s="15" t="s">
        <v>22</v>
      </c>
    </row>
    <row r="4551" spans="1:11" ht="42" customHeight="1">
      <c r="A4551" s="4" t="s">
        <v>10869</v>
      </c>
      <c r="B4551" s="5" t="s">
        <v>10869</v>
      </c>
      <c r="C4551" s="5" t="s">
        <v>57</v>
      </c>
      <c r="D4551" s="5" t="s">
        <v>58</v>
      </c>
      <c r="E4551" s="5" t="s">
        <v>50</v>
      </c>
      <c r="F4551" s="9">
        <v>93</v>
      </c>
      <c r="G4551" s="9">
        <v>1026</v>
      </c>
      <c r="H4551" s="5" t="s">
        <v>20</v>
      </c>
      <c r="I4551" s="5" t="s">
        <v>10872</v>
      </c>
      <c r="J4551" s="12" t="str">
        <f>HYPERLINK("https://www.boe.es/gazeta/dias/1804/11/20/pdfs/GMD-1804-93.pdf#page=2","Abrir facsímil")</f>
        <v>Abrir facsímil</v>
      </c>
      <c r="K4551" s="15" t="s">
        <v>22</v>
      </c>
    </row>
    <row r="4552" spans="1:11" ht="42" customHeight="1">
      <c r="A4552" s="4" t="s">
        <v>10873</v>
      </c>
      <c r="B4552" s="5" t="s">
        <v>10874</v>
      </c>
      <c r="C4552" s="5" t="s">
        <v>65</v>
      </c>
      <c r="D4552" s="5" t="s">
        <v>66</v>
      </c>
      <c r="E4552" s="5" t="s">
        <v>542</v>
      </c>
      <c r="F4552" s="9">
        <v>54</v>
      </c>
      <c r="G4552" s="9">
        <v>601</v>
      </c>
      <c r="H4552" s="5" t="s">
        <v>20</v>
      </c>
      <c r="I4552" s="5" t="s">
        <v>10875</v>
      </c>
      <c r="J4552" s="12" t="str">
        <f>HYPERLINK("https://www.boe.es/gazeta/dias/1804/07/06/pdfs/GMD-1804-54.pdf#page=7","Abrir facsímil")</f>
        <v>Abrir facsímil</v>
      </c>
      <c r="K4552" s="15" t="s">
        <v>22</v>
      </c>
    </row>
    <row r="4553" spans="1:11" ht="42" customHeight="1">
      <c r="A4553" s="4" t="s">
        <v>10876</v>
      </c>
      <c r="B4553" s="5" t="s">
        <v>10877</v>
      </c>
      <c r="C4553" s="5" t="s">
        <v>65</v>
      </c>
      <c r="D4553" s="5" t="s">
        <v>66</v>
      </c>
      <c r="E4553" s="5" t="s">
        <v>216</v>
      </c>
      <c r="F4553" s="9">
        <v>67</v>
      </c>
      <c r="G4553" s="9">
        <v>750</v>
      </c>
      <c r="H4553" s="5" t="s">
        <v>20</v>
      </c>
      <c r="I4553" s="5" t="s">
        <v>10878</v>
      </c>
      <c r="J4553" s="12" t="str">
        <f>HYPERLINK("https://www.boe.es/gazeta/dias/1804/08/21/pdfs/GMD-1804-67.pdf#page=8","Abrir facsímil")</f>
        <v>Abrir facsímil</v>
      </c>
      <c r="K4553" s="15" t="s">
        <v>22</v>
      </c>
    </row>
    <row r="4554" spans="1:11" ht="42" customHeight="1">
      <c r="A4554" s="4" t="s">
        <v>10879</v>
      </c>
      <c r="B4554" s="5" t="s">
        <v>10880</v>
      </c>
      <c r="C4554" s="5" t="s">
        <v>27</v>
      </c>
      <c r="D4554" s="5" t="s">
        <v>28</v>
      </c>
      <c r="E4554" s="5" t="s">
        <v>41</v>
      </c>
      <c r="F4554" s="9">
        <v>24</v>
      </c>
      <c r="G4554" s="9">
        <v>268</v>
      </c>
      <c r="H4554" s="5" t="s">
        <v>20</v>
      </c>
      <c r="I4554" s="5" t="s">
        <v>10881</v>
      </c>
      <c r="J4554" s="12" t="str">
        <f>HYPERLINK("https://www.boe.es/gazeta/dias/1804/03/23/pdfs/GMD-1804-24.pdf#page=2","Abrir facsímil")</f>
        <v>Abrir facsímil</v>
      </c>
      <c r="K4554" s="15" t="s">
        <v>22</v>
      </c>
    </row>
    <row r="4555" spans="1:11" ht="42" customHeight="1">
      <c r="A4555" s="4" t="s">
        <v>10879</v>
      </c>
      <c r="B4555" s="5" t="s">
        <v>10880</v>
      </c>
      <c r="C4555" s="5" t="s">
        <v>57</v>
      </c>
      <c r="D4555" s="5" t="s">
        <v>58</v>
      </c>
      <c r="E4555" s="5" t="s">
        <v>538</v>
      </c>
      <c r="F4555" s="9">
        <v>27</v>
      </c>
      <c r="G4555" s="9">
        <v>297</v>
      </c>
      <c r="H4555" s="5" t="s">
        <v>20</v>
      </c>
      <c r="I4555" s="5" t="s">
        <v>10882</v>
      </c>
      <c r="J4555" s="12" t="str">
        <f>HYPERLINK("https://www.boe.es/gazeta/dias/1804/04/03/pdfs/GMD-1804-27.pdf#page=3","Abrir facsímil")</f>
        <v>Abrir facsímil</v>
      </c>
      <c r="K4555" s="15" t="s">
        <v>22</v>
      </c>
    </row>
    <row r="4556" spans="1:11" ht="42" customHeight="1">
      <c r="A4556" s="4" t="s">
        <v>10879</v>
      </c>
      <c r="B4556" s="5" t="s">
        <v>10880</v>
      </c>
      <c r="C4556" s="5" t="s">
        <v>27</v>
      </c>
      <c r="D4556" s="5" t="s">
        <v>28</v>
      </c>
      <c r="E4556" s="5" t="s">
        <v>140</v>
      </c>
      <c r="F4556" s="9">
        <v>39</v>
      </c>
      <c r="G4556" s="9">
        <v>430</v>
      </c>
      <c r="H4556" s="5" t="s">
        <v>20</v>
      </c>
      <c r="I4556" s="5" t="s">
        <v>10883</v>
      </c>
      <c r="J4556" s="12" t="str">
        <f>HYPERLINK("https://www.boe.es/gazeta/dias/1804/05/15/pdfs/GMD-1804-39.pdf#page=4","Abrir facsímil")</f>
        <v>Abrir facsímil</v>
      </c>
      <c r="K4556" s="15" t="s">
        <v>22</v>
      </c>
    </row>
    <row r="4557" spans="1:11" ht="42" customHeight="1">
      <c r="A4557" s="4" t="s">
        <v>10879</v>
      </c>
      <c r="B4557" s="5" t="s">
        <v>10880</v>
      </c>
      <c r="C4557" s="5" t="s">
        <v>65</v>
      </c>
      <c r="D4557" s="5" t="s">
        <v>66</v>
      </c>
      <c r="E4557" s="5" t="s">
        <v>1179</v>
      </c>
      <c r="F4557" s="9">
        <v>43</v>
      </c>
      <c r="G4557" s="9">
        <v>479</v>
      </c>
      <c r="H4557" s="5" t="s">
        <v>20</v>
      </c>
      <c r="I4557" s="5" t="s">
        <v>10884</v>
      </c>
      <c r="J4557" s="12" t="str">
        <f>HYPERLINK("https://www.boe.es/gazeta/dias/1804/05/29/pdfs/GMD-1804-43.pdf#page=5","Abrir facsímil")</f>
        <v>Abrir facsímil</v>
      </c>
      <c r="K4557" s="15" t="s">
        <v>22</v>
      </c>
    </row>
    <row r="4558" spans="1:11" ht="42" customHeight="1">
      <c r="A4558" s="4" t="s">
        <v>10885</v>
      </c>
      <c r="B4558" s="5" t="s">
        <v>10885</v>
      </c>
      <c r="C4558" s="5" t="s">
        <v>85</v>
      </c>
      <c r="D4558" s="5" t="s">
        <v>86</v>
      </c>
      <c r="E4558" s="5" t="s">
        <v>151</v>
      </c>
      <c r="F4558" s="9">
        <v>13</v>
      </c>
      <c r="G4558" s="9">
        <v>144</v>
      </c>
      <c r="H4558" s="5" t="s">
        <v>20</v>
      </c>
      <c r="I4558" s="5" t="s">
        <v>10886</v>
      </c>
      <c r="J4558" s="12" t="str">
        <f>HYPERLINK("https://www.boe.es/gazeta/dias/1804/02/14/pdfs/GMD-1804-13.pdf#page=8","Abrir facsímil")</f>
        <v>Abrir facsímil</v>
      </c>
      <c r="K4558" s="15" t="s">
        <v>22</v>
      </c>
    </row>
    <row r="4559" spans="1:11" ht="42" customHeight="1">
      <c r="A4559" s="4" t="s">
        <v>10887</v>
      </c>
      <c r="B4559" s="5" t="s">
        <v>10888</v>
      </c>
      <c r="C4559" s="5" t="s">
        <v>65</v>
      </c>
      <c r="D4559" s="5" t="s">
        <v>66</v>
      </c>
      <c r="E4559" s="5" t="s">
        <v>50</v>
      </c>
      <c r="F4559" s="9">
        <v>93</v>
      </c>
      <c r="G4559" s="9">
        <v>1030</v>
      </c>
      <c r="H4559" s="5" t="s">
        <v>20</v>
      </c>
      <c r="I4559" s="5" t="s">
        <v>10889</v>
      </c>
      <c r="J4559" s="12" t="str">
        <f>HYPERLINK("https://www.boe.es/gazeta/dias/1804/11/20/pdfs/GMD-1804-93.pdf#page=6","Abrir facsímil")</f>
        <v>Abrir facsímil</v>
      </c>
      <c r="K4559" s="15" t="s">
        <v>22</v>
      </c>
    </row>
    <row r="4560" spans="1:11" ht="42" customHeight="1">
      <c r="A4560" s="4" t="s">
        <v>10890</v>
      </c>
      <c r="B4560" s="5" t="s">
        <v>10891</v>
      </c>
      <c r="C4560" s="5" t="s">
        <v>65</v>
      </c>
      <c r="D4560" s="5" t="s">
        <v>66</v>
      </c>
      <c r="E4560" s="5" t="s">
        <v>666</v>
      </c>
      <c r="F4560" s="9">
        <v>57</v>
      </c>
      <c r="G4560" s="9">
        <v>632</v>
      </c>
      <c r="H4560" s="5" t="s">
        <v>20</v>
      </c>
      <c r="I4560" s="5" t="s">
        <v>10892</v>
      </c>
      <c r="J4560" s="12" t="str">
        <f>HYPERLINK("https://www.boe.es/gazeta/dias/1804/07/17/pdfs/GMD-1804-57.pdf#page=10","Abrir facsímil")</f>
        <v>Abrir facsímil</v>
      </c>
      <c r="K4560" s="15" t="s">
        <v>22</v>
      </c>
    </row>
    <row r="4561" spans="1:11" ht="42" customHeight="1">
      <c r="A4561" s="4" t="s">
        <v>10893</v>
      </c>
      <c r="B4561" s="5" t="s">
        <v>10894</v>
      </c>
      <c r="C4561" s="5" t="s">
        <v>120</v>
      </c>
      <c r="D4561" s="5" t="s">
        <v>121</v>
      </c>
      <c r="E4561" s="5" t="s">
        <v>33</v>
      </c>
      <c r="F4561" s="9">
        <v>48</v>
      </c>
      <c r="G4561" s="9" t="s">
        <v>819</v>
      </c>
      <c r="H4561" s="5" t="s">
        <v>20</v>
      </c>
      <c r="I4561" s="5" t="s">
        <v>10895</v>
      </c>
      <c r="J4561" s="12" t="str">
        <f>HYPERLINK("https://www.boe.es/gazeta/dias/1804/06/15/pdfs/GMD-C-1804-48.pdf#page=4","Abrir facsímil")</f>
        <v>Abrir facsímil</v>
      </c>
      <c r="K4561" s="15" t="s">
        <v>22</v>
      </c>
    </row>
    <row r="4562" spans="1:11" ht="42" customHeight="1">
      <c r="A4562" s="4" t="s">
        <v>10896</v>
      </c>
      <c r="B4562" s="5" t="s">
        <v>10896</v>
      </c>
      <c r="C4562" s="5" t="s">
        <v>17</v>
      </c>
      <c r="D4562" s="5" t="s">
        <v>18</v>
      </c>
      <c r="E4562" s="5" t="s">
        <v>37</v>
      </c>
      <c r="F4562" s="9">
        <v>29</v>
      </c>
      <c r="G4562" s="9">
        <v>318</v>
      </c>
      <c r="H4562" s="5" t="s">
        <v>20</v>
      </c>
      <c r="I4562" s="5" t="s">
        <v>10897</v>
      </c>
      <c r="J4562" s="12" t="str">
        <f>HYPERLINK("https://www.boe.es/gazeta/dias/1804/04/10/pdfs/GMD-1804-29.pdf#page=8","Abrir facsímil")</f>
        <v>Abrir facsímil</v>
      </c>
      <c r="K4562" s="15" t="s">
        <v>22</v>
      </c>
    </row>
    <row r="4563" spans="1:11" ht="42" customHeight="1">
      <c r="A4563" s="4" t="s">
        <v>10898</v>
      </c>
      <c r="B4563" s="5" t="s">
        <v>10898</v>
      </c>
      <c r="C4563" s="5" t="s">
        <v>27</v>
      </c>
      <c r="D4563" s="5" t="s">
        <v>28</v>
      </c>
      <c r="E4563" s="5" t="s">
        <v>666</v>
      </c>
      <c r="F4563" s="9">
        <v>57</v>
      </c>
      <c r="G4563" s="9">
        <v>633</v>
      </c>
      <c r="H4563" s="5" t="s">
        <v>20</v>
      </c>
      <c r="I4563" s="5" t="s">
        <v>10899</v>
      </c>
      <c r="J4563" s="12" t="str">
        <f>HYPERLINK("https://www.boe.es/gazeta/dias/1804/07/17/pdfs/GMD-1804-57.pdf#page=11","Abrir facsímil")</f>
        <v>Abrir facsímil</v>
      </c>
      <c r="K4563" s="15" t="s">
        <v>22</v>
      </c>
    </row>
    <row r="4564" spans="1:11" ht="42" customHeight="1">
      <c r="A4564" s="4" t="s">
        <v>10900</v>
      </c>
      <c r="B4564" s="5" t="s">
        <v>10900</v>
      </c>
      <c r="C4564" s="5" t="s">
        <v>17</v>
      </c>
      <c r="D4564" s="5" t="s">
        <v>18</v>
      </c>
      <c r="E4564" s="5" t="s">
        <v>54</v>
      </c>
      <c r="F4564" s="9">
        <v>63</v>
      </c>
      <c r="G4564" s="9">
        <v>699</v>
      </c>
      <c r="H4564" s="5" t="s">
        <v>20</v>
      </c>
      <c r="I4564" s="5" t="s">
        <v>10901</v>
      </c>
      <c r="J4564" s="12" t="str">
        <f>HYPERLINK("https://www.boe.es/gazeta/dias/1804/08/07/pdfs/GMD-1804-63.pdf#page=9","Abrir facsímil")</f>
        <v>Abrir facsímil</v>
      </c>
      <c r="K4564" s="15" t="s">
        <v>22</v>
      </c>
    </row>
    <row r="4565" spans="1:11" ht="42" customHeight="1">
      <c r="A4565" s="4" t="s">
        <v>10902</v>
      </c>
      <c r="B4565" s="5" t="s">
        <v>10903</v>
      </c>
      <c r="C4565" s="5" t="s">
        <v>198</v>
      </c>
      <c r="D4565" s="5" t="s">
        <v>66</v>
      </c>
      <c r="E4565" s="5" t="s">
        <v>19</v>
      </c>
      <c r="F4565" s="9">
        <v>60</v>
      </c>
      <c r="G4565" s="9">
        <v>665</v>
      </c>
      <c r="H4565" s="5" t="s">
        <v>20</v>
      </c>
      <c r="I4565" s="5" t="s">
        <v>10904</v>
      </c>
      <c r="J4565" s="12" t="str">
        <f>HYPERLINK("https://www.boe.es/gazeta/dias/1804/07/27/pdfs/GMD-1804-60.pdf#page=7","Abrir facsímil")</f>
        <v>Abrir facsímil</v>
      </c>
      <c r="K4565" s="15" t="s">
        <v>22</v>
      </c>
    </row>
    <row r="4566" spans="1:11" ht="42" customHeight="1">
      <c r="A4566" s="4" t="s">
        <v>10905</v>
      </c>
      <c r="B4566" s="5" t="s">
        <v>10906</v>
      </c>
      <c r="C4566" s="5" t="s">
        <v>17</v>
      </c>
      <c r="D4566" s="5" t="s">
        <v>18</v>
      </c>
      <c r="E4566" s="5" t="s">
        <v>37</v>
      </c>
      <c r="F4566" s="9">
        <v>29</v>
      </c>
      <c r="G4566" s="9">
        <v>318</v>
      </c>
      <c r="H4566" s="5" t="s">
        <v>20</v>
      </c>
      <c r="I4566" s="5" t="s">
        <v>10907</v>
      </c>
      <c r="J4566" s="12" t="str">
        <f>HYPERLINK("https://www.boe.es/gazeta/dias/1804/04/10/pdfs/GMD-1804-29.pdf#page=8","Abrir facsímil")</f>
        <v>Abrir facsímil</v>
      </c>
      <c r="K4566" s="15" t="s">
        <v>22</v>
      </c>
    </row>
    <row r="4567" spans="1:11" ht="42" customHeight="1">
      <c r="A4567" s="4" t="s">
        <v>10908</v>
      </c>
      <c r="B4567" s="5" t="s">
        <v>10909</v>
      </c>
      <c r="C4567" s="5" t="s">
        <v>85</v>
      </c>
      <c r="D4567" s="5" t="s">
        <v>86</v>
      </c>
      <c r="E4567" s="5" t="s">
        <v>1449</v>
      </c>
      <c r="F4567" s="9">
        <v>8</v>
      </c>
      <c r="G4567" s="9">
        <v>88</v>
      </c>
      <c r="H4567" s="5" t="s">
        <v>20</v>
      </c>
      <c r="I4567" s="5" t="s">
        <v>10910</v>
      </c>
      <c r="J4567" s="12" t="str">
        <f>HYPERLINK("https://www.boe.es/gazeta/dias/1804/01/27/pdfs/GMD-1804-8.pdf#page=12","Abrir facsímil")</f>
        <v>Abrir facsímil</v>
      </c>
      <c r="K4567" s="15" t="s">
        <v>22</v>
      </c>
    </row>
    <row r="4568" spans="1:11" ht="42" customHeight="1">
      <c r="A4568" s="4" t="s">
        <v>10911</v>
      </c>
      <c r="B4568" s="5" t="s">
        <v>10912</v>
      </c>
      <c r="C4568" s="5" t="s">
        <v>17</v>
      </c>
      <c r="D4568" s="5" t="s">
        <v>18</v>
      </c>
      <c r="E4568" s="5" t="s">
        <v>37</v>
      </c>
      <c r="F4568" s="9">
        <v>29</v>
      </c>
      <c r="G4568" s="9">
        <v>318</v>
      </c>
      <c r="H4568" s="5" t="s">
        <v>20</v>
      </c>
      <c r="I4568" s="5" t="s">
        <v>10913</v>
      </c>
      <c r="J4568" s="12" t="str">
        <f>HYPERLINK("https://www.boe.es/gazeta/dias/1804/04/10/pdfs/GMD-1804-29.pdf#page=8","Abrir facsímil")</f>
        <v>Abrir facsímil</v>
      </c>
      <c r="K4568" s="15" t="s">
        <v>22</v>
      </c>
    </row>
    <row r="4569" spans="1:11" ht="42" customHeight="1">
      <c r="A4569" s="4" t="s">
        <v>10914</v>
      </c>
      <c r="B4569" s="5" t="s">
        <v>10915</v>
      </c>
      <c r="C4569" s="5" t="s">
        <v>85</v>
      </c>
      <c r="D4569" s="5" t="s">
        <v>86</v>
      </c>
      <c r="E4569" s="5" t="s">
        <v>320</v>
      </c>
      <c r="F4569" s="9">
        <v>31</v>
      </c>
      <c r="G4569" s="9">
        <v>345</v>
      </c>
      <c r="H4569" s="5" t="s">
        <v>20</v>
      </c>
      <c r="I4569" s="5" t="s">
        <v>10916</v>
      </c>
      <c r="J4569" s="12" t="str">
        <f>HYPERLINK("https://www.boe.es/gazeta/dias/1804/04/17/pdfs/GMD-1804-31.pdf#page=11","Abrir facsímil")</f>
        <v>Abrir facsímil</v>
      </c>
      <c r="K4569" s="15" t="s">
        <v>22</v>
      </c>
    </row>
    <row r="4570" spans="1:11" ht="42" customHeight="1">
      <c r="A4570" s="4" t="s">
        <v>10914</v>
      </c>
      <c r="B4570" s="5" t="s">
        <v>10915</v>
      </c>
      <c r="C4570" s="5" t="s">
        <v>85</v>
      </c>
      <c r="D4570" s="5" t="s">
        <v>86</v>
      </c>
      <c r="E4570" s="5" t="s">
        <v>132</v>
      </c>
      <c r="F4570" s="9">
        <v>52</v>
      </c>
      <c r="G4570" s="9">
        <v>577</v>
      </c>
      <c r="H4570" s="5" t="s">
        <v>20</v>
      </c>
      <c r="I4570" s="5" t="s">
        <v>10917</v>
      </c>
      <c r="J4570" s="12" t="str">
        <f>HYPERLINK("https://www.boe.es/gazeta/dias/1804/06/29/pdfs/GMD-1804-52.pdf#page=11","Abrir facsímil")</f>
        <v>Abrir facsímil</v>
      </c>
      <c r="K4570" s="15" t="s">
        <v>22</v>
      </c>
    </row>
    <row r="4571" spans="1:11" ht="42" customHeight="1">
      <c r="A4571" s="4" t="s">
        <v>10914</v>
      </c>
      <c r="B4571" s="5" t="s">
        <v>10915</v>
      </c>
      <c r="C4571" s="5" t="s">
        <v>85</v>
      </c>
      <c r="D4571" s="5" t="s">
        <v>86</v>
      </c>
      <c r="E4571" s="5" t="s">
        <v>23</v>
      </c>
      <c r="F4571" s="9">
        <v>91</v>
      </c>
      <c r="G4571" s="9">
        <v>1011</v>
      </c>
      <c r="H4571" s="5" t="s">
        <v>20</v>
      </c>
      <c r="I4571" s="5" t="s">
        <v>10918</v>
      </c>
      <c r="J4571" s="12" t="str">
        <f>HYPERLINK("https://www.boe.es/gazeta/dias/1804/11/13/pdfs/GMD-1804-91.pdf#page=11","Abrir facsímil")</f>
        <v>Abrir facsímil</v>
      </c>
      <c r="K4571" s="15" t="s">
        <v>22</v>
      </c>
    </row>
    <row r="4572" spans="1:11" ht="42" customHeight="1">
      <c r="A4572" s="4" t="s">
        <v>10919</v>
      </c>
      <c r="B4572" s="5" t="s">
        <v>10920</v>
      </c>
      <c r="C4572" s="5" t="s">
        <v>85</v>
      </c>
      <c r="D4572" s="5" t="s">
        <v>86</v>
      </c>
      <c r="E4572" s="5" t="s">
        <v>147</v>
      </c>
      <c r="F4572" s="9">
        <v>77</v>
      </c>
      <c r="G4572" s="9">
        <v>862</v>
      </c>
      <c r="H4572" s="5" t="s">
        <v>20</v>
      </c>
      <c r="I4572" s="5" t="s">
        <v>10921</v>
      </c>
      <c r="J4572" s="12" t="str">
        <f>HYPERLINK("https://www.boe.es/gazeta/dias/1804/09/25/pdfs/GMD-1804-77.pdf#page=12","Abrir facsímil")</f>
        <v>Abrir facsímil</v>
      </c>
      <c r="K4572" s="15" t="s">
        <v>22</v>
      </c>
    </row>
    <row r="4573" spans="1:11" ht="42" customHeight="1">
      <c r="A4573" s="4" t="s">
        <v>10922</v>
      </c>
      <c r="B4573" s="5" t="s">
        <v>10923</v>
      </c>
      <c r="C4573" s="5" t="s">
        <v>27</v>
      </c>
      <c r="D4573" s="5" t="s">
        <v>28</v>
      </c>
      <c r="E4573" s="5" t="s">
        <v>75</v>
      </c>
      <c r="F4573" s="9">
        <v>16</v>
      </c>
      <c r="G4573" s="9">
        <v>173</v>
      </c>
      <c r="H4573" s="5" t="s">
        <v>20</v>
      </c>
      <c r="I4573" s="5" t="s">
        <v>10924</v>
      </c>
      <c r="J4573" s="12" t="str">
        <f>HYPERLINK("https://www.boe.es/gazeta/dias/1804/02/24/pdfs/GMD-1804-16.pdf#page=9","Abrir facsímil")</f>
        <v>Abrir facsímil</v>
      </c>
      <c r="K4573" s="15" t="s">
        <v>22</v>
      </c>
    </row>
    <row r="4574" spans="1:11" ht="42" customHeight="1">
      <c r="A4574" s="4" t="s">
        <v>10922</v>
      </c>
      <c r="B4574" s="5" t="s">
        <v>10923</v>
      </c>
      <c r="C4574" s="5" t="s">
        <v>27</v>
      </c>
      <c r="D4574" s="5" t="s">
        <v>28</v>
      </c>
      <c r="E4574" s="5" t="s">
        <v>33</v>
      </c>
      <c r="F4574" s="9">
        <v>48</v>
      </c>
      <c r="G4574" s="9">
        <v>537</v>
      </c>
      <c r="H4574" s="5" t="s">
        <v>20</v>
      </c>
      <c r="I4574" s="5" t="s">
        <v>10925</v>
      </c>
      <c r="J4574" s="12" t="str">
        <f>HYPERLINK("https://www.boe.es/gazeta/dias/1804/06/15/pdfs/GMD-1804-48.pdf#page=7","Abrir facsímil")</f>
        <v>Abrir facsímil</v>
      </c>
      <c r="K4574" s="15" t="s">
        <v>22</v>
      </c>
    </row>
    <row r="4575" spans="1:11" ht="42" customHeight="1">
      <c r="A4575" s="4" t="s">
        <v>10922</v>
      </c>
      <c r="B4575" s="5" t="s">
        <v>10923</v>
      </c>
      <c r="C4575" s="5" t="s">
        <v>17</v>
      </c>
      <c r="D4575" s="5" t="s">
        <v>18</v>
      </c>
      <c r="E4575" s="5" t="s">
        <v>216</v>
      </c>
      <c r="F4575" s="9">
        <v>67</v>
      </c>
      <c r="G4575" s="9">
        <v>751</v>
      </c>
      <c r="H4575" s="5" t="s">
        <v>20</v>
      </c>
      <c r="I4575" s="5" t="s">
        <v>10926</v>
      </c>
      <c r="J4575" s="12" t="str">
        <f>HYPERLINK("https://www.boe.es/gazeta/dias/1804/08/21/pdfs/GMD-1804-67.pdf#page=9","Abrir facsímil")</f>
        <v>Abrir facsímil</v>
      </c>
      <c r="K4575" s="15" t="s">
        <v>22</v>
      </c>
    </row>
    <row r="4576" spans="1:11" ht="42" customHeight="1">
      <c r="A4576" s="4" t="s">
        <v>10927</v>
      </c>
      <c r="B4576" s="5" t="s">
        <v>10928</v>
      </c>
      <c r="C4576" s="5" t="s">
        <v>27</v>
      </c>
      <c r="D4576" s="5" t="s">
        <v>28</v>
      </c>
      <c r="E4576" s="5" t="s">
        <v>704</v>
      </c>
      <c r="F4576" s="9">
        <v>36</v>
      </c>
      <c r="G4576" s="9">
        <v>400</v>
      </c>
      <c r="H4576" s="5" t="s">
        <v>20</v>
      </c>
      <c r="I4576" s="5" t="s">
        <v>10929</v>
      </c>
      <c r="J4576" s="12" t="str">
        <f>HYPERLINK("https://www.boe.es/gazeta/dias/1804/05/04/pdfs/GMD-1804-36.pdf#page=10","Abrir facsímil")</f>
        <v>Abrir facsímil</v>
      </c>
      <c r="K4576" s="15" t="s">
        <v>22</v>
      </c>
    </row>
    <row r="4577" spans="1:11" ht="42" customHeight="1">
      <c r="A4577" s="4" t="s">
        <v>10930</v>
      </c>
      <c r="B4577" s="5" t="s">
        <v>10931</v>
      </c>
      <c r="C4577" s="5" t="s">
        <v>27</v>
      </c>
      <c r="D4577" s="5" t="s">
        <v>28</v>
      </c>
      <c r="E4577" s="5" t="s">
        <v>41</v>
      </c>
      <c r="F4577" s="9">
        <v>24</v>
      </c>
      <c r="G4577" s="9">
        <v>276</v>
      </c>
      <c r="H4577" s="5" t="s">
        <v>20</v>
      </c>
      <c r="I4577" s="5" t="s">
        <v>10932</v>
      </c>
      <c r="J4577" s="12" t="str">
        <f>HYPERLINK("https://www.boe.es/gazeta/dias/1804/03/23/pdfs/GMD-1804-24.pdf#page=10","Abrir facsímil")</f>
        <v>Abrir facsímil</v>
      </c>
      <c r="K4577" s="15" t="s">
        <v>22</v>
      </c>
    </row>
    <row r="4578" spans="1:11" ht="42" customHeight="1">
      <c r="A4578" s="4" t="s">
        <v>10933</v>
      </c>
      <c r="B4578" s="5" t="s">
        <v>10934</v>
      </c>
      <c r="C4578" s="5" t="s">
        <v>27</v>
      </c>
      <c r="D4578" s="5" t="s">
        <v>28</v>
      </c>
      <c r="E4578" s="5" t="s">
        <v>19</v>
      </c>
      <c r="F4578" s="9">
        <v>60</v>
      </c>
      <c r="G4578" s="9">
        <v>664</v>
      </c>
      <c r="H4578" s="5" t="s">
        <v>20</v>
      </c>
      <c r="I4578" s="5" t="s">
        <v>10935</v>
      </c>
      <c r="J4578" s="12" t="str">
        <f>HYPERLINK("https://www.boe.es/gazeta/dias/1804/07/27/pdfs/GMD-1804-60.pdf#page=6","Abrir facsímil")</f>
        <v>Abrir facsímil</v>
      </c>
      <c r="K4578" s="15" t="s">
        <v>22</v>
      </c>
    </row>
    <row r="4579" spans="1:11" ht="42" customHeight="1">
      <c r="A4579" s="4" t="s">
        <v>10936</v>
      </c>
      <c r="B4579" s="5" t="s">
        <v>10937</v>
      </c>
      <c r="C4579" s="5" t="s">
        <v>27</v>
      </c>
      <c r="D4579" s="5" t="s">
        <v>28</v>
      </c>
      <c r="E4579" s="5" t="s">
        <v>258</v>
      </c>
      <c r="F4579" s="9">
        <v>14</v>
      </c>
      <c r="G4579" s="9">
        <v>153</v>
      </c>
      <c r="H4579" s="5" t="s">
        <v>20</v>
      </c>
      <c r="I4579" s="5" t="s">
        <v>10938</v>
      </c>
      <c r="J4579" s="12" t="str">
        <f>HYPERLINK("https://www.boe.es/gazeta/dias/1804/02/17/pdfs/GMD-1804-14.pdf#page=9","Abrir facsímil")</f>
        <v>Abrir facsímil</v>
      </c>
      <c r="K4579" s="15" t="s">
        <v>22</v>
      </c>
    </row>
    <row r="4580" spans="1:11" ht="42" customHeight="1">
      <c r="A4580" s="4" t="s">
        <v>10939</v>
      </c>
      <c r="B4580" s="5" t="s">
        <v>10940</v>
      </c>
      <c r="C4580" s="5" t="s">
        <v>27</v>
      </c>
      <c r="D4580" s="5" t="s">
        <v>28</v>
      </c>
      <c r="E4580" s="5" t="s">
        <v>71</v>
      </c>
      <c r="F4580" s="9">
        <v>99</v>
      </c>
      <c r="G4580" s="9">
        <v>1106</v>
      </c>
      <c r="H4580" s="5" t="s">
        <v>20</v>
      </c>
      <c r="I4580" s="5" t="s">
        <v>10941</v>
      </c>
      <c r="J4580" s="12" t="str">
        <f>HYPERLINK("https://www.boe.es/gazeta/dias/1804/12/11/pdfs/GMD-1804-99.pdf#page=6","Abrir facsímil")</f>
        <v>Abrir facsímil</v>
      </c>
      <c r="K4580" s="15" t="s">
        <v>22</v>
      </c>
    </row>
    <row r="4581" spans="1:11" ht="42" customHeight="1">
      <c r="A4581" s="4" t="s">
        <v>10942</v>
      </c>
      <c r="B4581" s="5" t="s">
        <v>10943</v>
      </c>
      <c r="C4581" s="5" t="s">
        <v>27</v>
      </c>
      <c r="D4581" s="5" t="s">
        <v>28</v>
      </c>
      <c r="E4581" s="5" t="s">
        <v>226</v>
      </c>
      <c r="F4581" s="9">
        <v>17</v>
      </c>
      <c r="G4581" s="9">
        <v>187</v>
      </c>
      <c r="H4581" s="5" t="s">
        <v>20</v>
      </c>
      <c r="I4581" s="5" t="s">
        <v>10944</v>
      </c>
      <c r="J4581" s="12" t="str">
        <f>HYPERLINK("https://www.boe.es/gazeta/dias/1804/02/28/pdfs/GMD-1804-17.pdf#page=7","Abrir facsímil")</f>
        <v>Abrir facsímil</v>
      </c>
      <c r="K4581" s="15" t="s">
        <v>22</v>
      </c>
    </row>
    <row r="4582" spans="1:11" ht="42" customHeight="1">
      <c r="A4582" s="4" t="s">
        <v>10945</v>
      </c>
      <c r="B4582" s="5" t="s">
        <v>10946</v>
      </c>
      <c r="C4582" s="5" t="s">
        <v>27</v>
      </c>
      <c r="D4582" s="5" t="s">
        <v>28</v>
      </c>
      <c r="E4582" s="5" t="s">
        <v>208</v>
      </c>
      <c r="F4582" s="9">
        <v>97</v>
      </c>
      <c r="G4582" s="9">
        <v>1082</v>
      </c>
      <c r="H4582" s="5" t="s">
        <v>20</v>
      </c>
      <c r="I4582" s="5" t="s">
        <v>10947</v>
      </c>
      <c r="J4582" s="12" t="str">
        <f>HYPERLINK("https://www.boe.es/gazeta/dias/1804/12/04/pdfs/GMD-1804-97.pdf#page=10","Abrir facsímil")</f>
        <v>Abrir facsímil</v>
      </c>
      <c r="K4582" s="15" t="s">
        <v>22</v>
      </c>
    </row>
    <row r="4583" spans="1:11" ht="42" customHeight="1">
      <c r="A4583" s="4" t="s">
        <v>10948</v>
      </c>
      <c r="B4583" s="5" t="s">
        <v>10949</v>
      </c>
      <c r="C4583" s="5" t="s">
        <v>65</v>
      </c>
      <c r="D4583" s="5" t="s">
        <v>66</v>
      </c>
      <c r="E4583" s="5" t="s">
        <v>332</v>
      </c>
      <c r="F4583" s="9">
        <v>66</v>
      </c>
      <c r="G4583" s="9">
        <v>741</v>
      </c>
      <c r="H4583" s="5" t="s">
        <v>20</v>
      </c>
      <c r="I4583" s="5" t="s">
        <v>10950</v>
      </c>
      <c r="J4583" s="12" t="str">
        <f>HYPERLINK("https://www.boe.es/gazeta/dias/1804/08/17/pdfs/GMD-1804-66.pdf#page=7","Abrir facsímil")</f>
        <v>Abrir facsímil</v>
      </c>
      <c r="K4583" s="15" t="s">
        <v>22</v>
      </c>
    </row>
    <row r="4584" spans="1:11" ht="42" customHeight="1">
      <c r="A4584" s="4" t="s">
        <v>10951</v>
      </c>
      <c r="B4584" s="5" t="s">
        <v>10952</v>
      </c>
      <c r="C4584" s="5" t="s">
        <v>120</v>
      </c>
      <c r="D4584" s="5" t="s">
        <v>121</v>
      </c>
      <c r="E4584" s="5" t="s">
        <v>33</v>
      </c>
      <c r="F4584" s="9">
        <v>48</v>
      </c>
      <c r="G4584" s="9" t="s">
        <v>122</v>
      </c>
      <c r="H4584" s="5" t="s">
        <v>20</v>
      </c>
      <c r="I4584" s="5" t="s">
        <v>10953</v>
      </c>
      <c r="J4584" s="12" t="str">
        <f>HYPERLINK("https://www.boe.es/gazeta/dias/1804/06/15/pdfs/GMD-C-1804-48.pdf#page=3","Abrir facsímil")</f>
        <v>Abrir facsímil</v>
      </c>
      <c r="K4584" s="15" t="s">
        <v>22</v>
      </c>
    </row>
    <row r="4585" spans="1:11" ht="42" customHeight="1">
      <c r="A4585" s="4" t="s">
        <v>10954</v>
      </c>
      <c r="B4585" s="5" t="s">
        <v>10955</v>
      </c>
      <c r="C4585" s="5" t="s">
        <v>27</v>
      </c>
      <c r="D4585" s="5" t="s">
        <v>28</v>
      </c>
      <c r="E4585" s="5" t="s">
        <v>354</v>
      </c>
      <c r="F4585" s="9">
        <v>1</v>
      </c>
      <c r="G4585" s="9">
        <v>10</v>
      </c>
      <c r="H4585" s="5" t="s">
        <v>20</v>
      </c>
      <c r="I4585" s="5" t="s">
        <v>10956</v>
      </c>
      <c r="J4585" s="12" t="str">
        <f>HYPERLINK("https://www.boe.es/gazeta/dias/1804/01/03/pdfs/GMD-1804-1.pdf#page=10","Abrir facsímil")</f>
        <v>Abrir facsímil</v>
      </c>
      <c r="K4585" s="15" t="s">
        <v>22</v>
      </c>
    </row>
    <row r="4586" spans="1:11" ht="42" customHeight="1">
      <c r="A4586" s="4" t="s">
        <v>10957</v>
      </c>
      <c r="B4586" s="5" t="s">
        <v>10958</v>
      </c>
      <c r="C4586" s="5" t="s">
        <v>27</v>
      </c>
      <c r="D4586" s="5" t="s">
        <v>28</v>
      </c>
      <c r="E4586" s="5" t="s">
        <v>191</v>
      </c>
      <c r="F4586" s="9">
        <v>101</v>
      </c>
      <c r="G4586" s="9">
        <v>1128</v>
      </c>
      <c r="H4586" s="5" t="s">
        <v>20</v>
      </c>
      <c r="I4586" s="5" t="s">
        <v>10959</v>
      </c>
      <c r="J4586" s="12" t="str">
        <f>HYPERLINK("https://www.boe.es/gazeta/dias/1804/12/18/pdfs/GMD-1804-101.pdf#page=8","Abrir facsímil")</f>
        <v>Abrir facsímil</v>
      </c>
      <c r="K4586" s="15" t="s">
        <v>22</v>
      </c>
    </row>
    <row r="4587" spans="1:11" ht="42" customHeight="1">
      <c r="A4587" s="4" t="s">
        <v>10957</v>
      </c>
      <c r="B4587" s="5" t="s">
        <v>10958</v>
      </c>
      <c r="C4587" s="5" t="s">
        <v>17</v>
      </c>
      <c r="D4587" s="5" t="s">
        <v>18</v>
      </c>
      <c r="E4587" s="5" t="s">
        <v>191</v>
      </c>
      <c r="F4587" s="9">
        <v>101</v>
      </c>
      <c r="G4587" s="9">
        <v>1129</v>
      </c>
      <c r="H4587" s="5" t="s">
        <v>20</v>
      </c>
      <c r="I4587" s="5" t="s">
        <v>10960</v>
      </c>
      <c r="J4587" s="12" t="str">
        <f>HYPERLINK("https://www.boe.es/gazeta/dias/1804/12/18/pdfs/GMD-1804-101.pdf#page=9","Abrir facsímil")</f>
        <v>Abrir facsímil</v>
      </c>
      <c r="K4587" s="15" t="s">
        <v>22</v>
      </c>
    </row>
    <row r="4588" spans="1:11" ht="42" customHeight="1">
      <c r="A4588" s="4" t="s">
        <v>10961</v>
      </c>
      <c r="B4588" s="5" t="s">
        <v>10962</v>
      </c>
      <c r="C4588" s="5" t="s">
        <v>85</v>
      </c>
      <c r="D4588" s="5" t="s">
        <v>86</v>
      </c>
      <c r="E4588" s="5" t="s">
        <v>71</v>
      </c>
      <c r="F4588" s="9">
        <v>99</v>
      </c>
      <c r="G4588" s="9">
        <v>1107</v>
      </c>
      <c r="H4588" s="5" t="s">
        <v>20</v>
      </c>
      <c r="I4588" s="5" t="s">
        <v>10963</v>
      </c>
      <c r="J4588" s="12" t="str">
        <f>HYPERLINK("https://www.boe.es/gazeta/dias/1804/12/11/pdfs/GMD-1804-99.pdf#page=7","Abrir facsímil")</f>
        <v>Abrir facsímil</v>
      </c>
      <c r="K4588" s="15" t="s">
        <v>22</v>
      </c>
    </row>
    <row r="4589" spans="1:11" ht="42" customHeight="1">
      <c r="A4589" s="4" t="s">
        <v>10964</v>
      </c>
      <c r="B4589" s="5" t="s">
        <v>10965</v>
      </c>
      <c r="C4589" s="5" t="s">
        <v>27</v>
      </c>
      <c r="D4589" s="5" t="s">
        <v>28</v>
      </c>
      <c r="E4589" s="5" t="s">
        <v>950</v>
      </c>
      <c r="F4589" s="9">
        <v>90</v>
      </c>
      <c r="G4589" s="9">
        <v>999</v>
      </c>
      <c r="H4589" s="5" t="s">
        <v>20</v>
      </c>
      <c r="I4589" s="5" t="s">
        <v>10966</v>
      </c>
      <c r="J4589" s="12" t="str">
        <f>HYPERLINK("https://www.boe.es/gazeta/dias/1804/11/09/pdfs/GMD-1804-90.pdf#page=7","Abrir facsímil")</f>
        <v>Abrir facsímil</v>
      </c>
      <c r="K4589" s="15" t="s">
        <v>22</v>
      </c>
    </row>
    <row r="4590" spans="1:11" ht="42" customHeight="1">
      <c r="A4590" s="4" t="s">
        <v>10967</v>
      </c>
      <c r="B4590" s="5" t="s">
        <v>10968</v>
      </c>
      <c r="C4590" s="5" t="s">
        <v>198</v>
      </c>
      <c r="D4590" s="5" t="s">
        <v>66</v>
      </c>
      <c r="E4590" s="5" t="s">
        <v>136</v>
      </c>
      <c r="F4590" s="9">
        <v>23</v>
      </c>
      <c r="G4590" s="9">
        <v>264</v>
      </c>
      <c r="H4590" s="5" t="s">
        <v>20</v>
      </c>
      <c r="I4590" s="5" t="s">
        <v>10969</v>
      </c>
      <c r="J4590" s="12" t="str">
        <f>HYPERLINK("https://www.boe.es/gazeta/dias/1804/03/20/pdfs/GMD-1804-23.pdf#page=10","Abrir facsímil")</f>
        <v>Abrir facsímil</v>
      </c>
      <c r="K4590" s="15" t="s">
        <v>22</v>
      </c>
    </row>
    <row r="4591" spans="1:11" ht="42" customHeight="1">
      <c r="A4591" s="4" t="s">
        <v>10970</v>
      </c>
      <c r="B4591" s="5" t="s">
        <v>10971</v>
      </c>
      <c r="C4591" s="5" t="s">
        <v>65</v>
      </c>
      <c r="D4591" s="5" t="s">
        <v>66</v>
      </c>
      <c r="E4591" s="5" t="s">
        <v>77</v>
      </c>
      <c r="F4591" s="9">
        <v>32</v>
      </c>
      <c r="G4591" s="9">
        <v>356</v>
      </c>
      <c r="H4591" s="5" t="s">
        <v>20</v>
      </c>
      <c r="I4591" s="5" t="s">
        <v>10972</v>
      </c>
      <c r="J4591" s="12" t="str">
        <f>HYPERLINK("https://www.boe.es/gazeta/dias/1804/04/20/pdfs/GMD-1804-32.pdf#page=10","Abrir facsímil")</f>
        <v>Abrir facsímil</v>
      </c>
      <c r="K4591" s="15" t="s">
        <v>22</v>
      </c>
    </row>
    <row r="4592" spans="1:11" ht="42" customHeight="1">
      <c r="A4592" s="4" t="s">
        <v>10973</v>
      </c>
      <c r="B4592" s="5" t="s">
        <v>10974</v>
      </c>
      <c r="C4592" s="5" t="s">
        <v>27</v>
      </c>
      <c r="D4592" s="5" t="s">
        <v>28</v>
      </c>
      <c r="E4592" s="5" t="s">
        <v>191</v>
      </c>
      <c r="F4592" s="9">
        <v>101</v>
      </c>
      <c r="G4592" s="9">
        <v>1128</v>
      </c>
      <c r="H4592" s="5" t="s">
        <v>20</v>
      </c>
      <c r="I4592" s="5" t="s">
        <v>10975</v>
      </c>
      <c r="J4592" s="12" t="str">
        <f>HYPERLINK("https://www.boe.es/gazeta/dias/1804/12/18/pdfs/GMD-1804-101.pdf#page=8","Abrir facsímil")</f>
        <v>Abrir facsímil</v>
      </c>
      <c r="K4592" s="15" t="s">
        <v>22</v>
      </c>
    </row>
    <row r="4593" spans="1:11" ht="42" customHeight="1">
      <c r="A4593" s="4" t="s">
        <v>10976</v>
      </c>
      <c r="B4593" s="5" t="s">
        <v>10977</v>
      </c>
      <c r="C4593" s="5" t="s">
        <v>27</v>
      </c>
      <c r="D4593" s="5" t="s">
        <v>28</v>
      </c>
      <c r="E4593" s="5" t="s">
        <v>226</v>
      </c>
      <c r="F4593" s="9">
        <v>17</v>
      </c>
      <c r="G4593" s="9">
        <v>187</v>
      </c>
      <c r="H4593" s="5" t="s">
        <v>20</v>
      </c>
      <c r="I4593" s="5" t="s">
        <v>10978</v>
      </c>
      <c r="J4593" s="12" t="str">
        <f>HYPERLINK("https://www.boe.es/gazeta/dias/1804/02/28/pdfs/GMD-1804-17.pdf#page=7","Abrir facsímil")</f>
        <v>Abrir facsímil</v>
      </c>
      <c r="K4593" s="15" t="s">
        <v>22</v>
      </c>
    </row>
    <row r="4594" spans="1:11" ht="42" customHeight="1">
      <c r="A4594" s="4" t="s">
        <v>10976</v>
      </c>
      <c r="B4594" s="5" t="s">
        <v>10977</v>
      </c>
      <c r="C4594" s="5" t="s">
        <v>120</v>
      </c>
      <c r="D4594" s="5" t="s">
        <v>121</v>
      </c>
      <c r="E4594" s="5" t="s">
        <v>33</v>
      </c>
      <c r="F4594" s="9">
        <v>48</v>
      </c>
      <c r="G4594" s="9" t="s">
        <v>285</v>
      </c>
      <c r="H4594" s="5" t="s">
        <v>20</v>
      </c>
      <c r="I4594" s="5" t="s">
        <v>10979</v>
      </c>
      <c r="J4594" s="12" t="str">
        <f>HYPERLINK("https://www.boe.es/gazeta/dias/1804/06/15/pdfs/GMD-C-1804-48.pdf#page=2","Abrir facsímil")</f>
        <v>Abrir facsímil</v>
      </c>
      <c r="K4594" s="15" t="s">
        <v>22</v>
      </c>
    </row>
    <row r="4595" spans="1:11" ht="42" customHeight="1">
      <c r="A4595" s="4" t="s">
        <v>10976</v>
      </c>
      <c r="B4595" s="5" t="s">
        <v>10977</v>
      </c>
      <c r="C4595" s="5" t="s">
        <v>17</v>
      </c>
      <c r="D4595" s="5" t="s">
        <v>18</v>
      </c>
      <c r="E4595" s="5" t="s">
        <v>54</v>
      </c>
      <c r="F4595" s="9">
        <v>63</v>
      </c>
      <c r="G4595" s="9">
        <v>700</v>
      </c>
      <c r="H4595" s="5" t="s">
        <v>20</v>
      </c>
      <c r="I4595" s="5" t="s">
        <v>10980</v>
      </c>
      <c r="J4595" s="12" t="str">
        <f>HYPERLINK("https://www.boe.es/gazeta/dias/1804/08/07/pdfs/GMD-1804-63.pdf#page=10","Abrir facsímil")</f>
        <v>Abrir facsímil</v>
      </c>
      <c r="K4595" s="15" t="s">
        <v>22</v>
      </c>
    </row>
    <row r="4596" spans="1:11" ht="42" customHeight="1">
      <c r="A4596" s="4" t="s">
        <v>10981</v>
      </c>
      <c r="B4596" s="5" t="s">
        <v>10982</v>
      </c>
      <c r="C4596" s="5" t="s">
        <v>27</v>
      </c>
      <c r="D4596" s="5" t="s">
        <v>28</v>
      </c>
      <c r="E4596" s="5" t="s">
        <v>50</v>
      </c>
      <c r="F4596" s="9">
        <v>93</v>
      </c>
      <c r="G4596" s="9">
        <v>1031</v>
      </c>
      <c r="H4596" s="5" t="s">
        <v>20</v>
      </c>
      <c r="I4596" s="5" t="s">
        <v>10983</v>
      </c>
      <c r="J4596" s="12" t="str">
        <f>HYPERLINK("https://www.boe.es/gazeta/dias/1804/11/20/pdfs/GMD-1804-93.pdf#page=7","Abrir facsímil")</f>
        <v>Abrir facsímil</v>
      </c>
      <c r="K4596" s="15" t="s">
        <v>22</v>
      </c>
    </row>
    <row r="4597" spans="1:11" ht="42" customHeight="1">
      <c r="A4597" s="4" t="s">
        <v>10984</v>
      </c>
      <c r="B4597" s="5" t="s">
        <v>10985</v>
      </c>
      <c r="C4597" s="5" t="s">
        <v>85</v>
      </c>
      <c r="D4597" s="5" t="s">
        <v>86</v>
      </c>
      <c r="E4597" s="5" t="s">
        <v>81</v>
      </c>
      <c r="F4597" s="9">
        <v>98</v>
      </c>
      <c r="G4597" s="9">
        <v>1091</v>
      </c>
      <c r="H4597" s="5" t="s">
        <v>20</v>
      </c>
      <c r="I4597" s="5" t="s">
        <v>10986</v>
      </c>
      <c r="J4597" s="12" t="str">
        <f>HYPERLINK("https://www.boe.es/gazeta/dias/1804/12/07/pdfs/GMD-1804-98.pdf#page=7","Abrir facsímil")</f>
        <v>Abrir facsímil</v>
      </c>
      <c r="K4597" s="15" t="s">
        <v>22</v>
      </c>
    </row>
    <row r="4598" spans="1:11" ht="42" customHeight="1">
      <c r="A4598" s="4" t="s">
        <v>10987</v>
      </c>
      <c r="B4598" s="5" t="s">
        <v>10988</v>
      </c>
      <c r="C4598" s="5" t="s">
        <v>85</v>
      </c>
      <c r="D4598" s="5" t="s">
        <v>86</v>
      </c>
      <c r="E4598" s="5" t="s">
        <v>511</v>
      </c>
      <c r="F4598" s="9">
        <v>12</v>
      </c>
      <c r="G4598" s="9">
        <v>136</v>
      </c>
      <c r="H4598" s="5" t="s">
        <v>20</v>
      </c>
      <c r="I4598" s="5" t="s">
        <v>10989</v>
      </c>
      <c r="J4598" s="12" t="str">
        <f>HYPERLINK("https://www.boe.es/gazeta/dias/1804/02/10/pdfs/GMD-1804-12.pdf#page=12","Abrir facsímil")</f>
        <v>Abrir facsímil</v>
      </c>
      <c r="K4598" s="15" t="s">
        <v>22</v>
      </c>
    </row>
    <row r="4599" spans="1:11" ht="42" customHeight="1">
      <c r="A4599" s="4" t="s">
        <v>10987</v>
      </c>
      <c r="B4599" s="5" t="s">
        <v>10988</v>
      </c>
      <c r="C4599" s="5" t="s">
        <v>120</v>
      </c>
      <c r="D4599" s="5" t="s">
        <v>121</v>
      </c>
      <c r="E4599" s="5" t="s">
        <v>33</v>
      </c>
      <c r="F4599" s="9">
        <v>48</v>
      </c>
      <c r="G4599" s="9" t="s">
        <v>98</v>
      </c>
      <c r="H4599" s="5" t="s">
        <v>20</v>
      </c>
      <c r="I4599" s="5" t="s">
        <v>10990</v>
      </c>
      <c r="J4599" s="12" t="str">
        <f>HYPERLINK("https://www.boe.es/gazeta/dias/1804/06/15/pdfs/GMD-C-1804-48.pdf#page=1","Abrir facsímil")</f>
        <v>Abrir facsímil</v>
      </c>
      <c r="K4599" s="15" t="s">
        <v>22</v>
      </c>
    </row>
    <row r="4600" spans="1:11" ht="42" customHeight="1">
      <c r="A4600" s="4" t="s">
        <v>10987</v>
      </c>
      <c r="B4600" s="5" t="s">
        <v>10988</v>
      </c>
      <c r="C4600" s="5" t="s">
        <v>120</v>
      </c>
      <c r="D4600" s="5" t="s">
        <v>121</v>
      </c>
      <c r="E4600" s="5" t="s">
        <v>33</v>
      </c>
      <c r="F4600" s="9">
        <v>48</v>
      </c>
      <c r="G4600" s="9" t="s">
        <v>285</v>
      </c>
      <c r="H4600" s="5" t="s">
        <v>20</v>
      </c>
      <c r="I4600" s="5" t="s">
        <v>10991</v>
      </c>
      <c r="J4600" s="12" t="str">
        <f>HYPERLINK("https://www.boe.es/gazeta/dias/1804/06/15/pdfs/GMD-C-1804-48.pdf#page=2","Abrir facsímil")</f>
        <v>Abrir facsímil</v>
      </c>
      <c r="K4600" s="15" t="s">
        <v>22</v>
      </c>
    </row>
    <row r="4601" spans="1:11" ht="42" customHeight="1">
      <c r="A4601" s="4" t="s">
        <v>10992</v>
      </c>
      <c r="B4601" s="5" t="s">
        <v>10993</v>
      </c>
      <c r="C4601" s="5" t="s">
        <v>27</v>
      </c>
      <c r="D4601" s="5" t="s">
        <v>28</v>
      </c>
      <c r="E4601" s="5" t="s">
        <v>216</v>
      </c>
      <c r="F4601" s="9">
        <v>67</v>
      </c>
      <c r="G4601" s="9">
        <v>751</v>
      </c>
      <c r="H4601" s="5" t="s">
        <v>20</v>
      </c>
      <c r="I4601" s="5" t="s">
        <v>10994</v>
      </c>
      <c r="J4601" s="12" t="str">
        <f>HYPERLINK("https://www.boe.es/gazeta/dias/1804/08/21/pdfs/GMD-1804-67.pdf#page=9","Abrir facsímil")</f>
        <v>Abrir facsímil</v>
      </c>
      <c r="K4601" s="15" t="s">
        <v>22</v>
      </c>
    </row>
    <row r="4602" spans="1:11" ht="42" customHeight="1">
      <c r="A4602" s="4" t="s">
        <v>10992</v>
      </c>
      <c r="B4602" s="5" t="s">
        <v>10993</v>
      </c>
      <c r="C4602" s="5" t="s">
        <v>65</v>
      </c>
      <c r="D4602" s="5" t="s">
        <v>66</v>
      </c>
      <c r="E4602" s="5" t="s">
        <v>23</v>
      </c>
      <c r="F4602" s="9">
        <v>91</v>
      </c>
      <c r="G4602" s="9">
        <v>1009</v>
      </c>
      <c r="H4602" s="5" t="s">
        <v>20</v>
      </c>
      <c r="I4602" s="5" t="s">
        <v>10995</v>
      </c>
      <c r="J4602" s="12" t="str">
        <f>HYPERLINK("https://www.boe.es/gazeta/dias/1804/11/13/pdfs/GMD-1804-91.pdf#page=9","Abrir facsímil")</f>
        <v>Abrir facsímil</v>
      </c>
      <c r="K4602" s="15" t="s">
        <v>22</v>
      </c>
    </row>
    <row r="4603" spans="1:11" ht="42" customHeight="1">
      <c r="A4603" s="4" t="s">
        <v>10996</v>
      </c>
      <c r="B4603" s="5" t="s">
        <v>10997</v>
      </c>
      <c r="C4603" s="5" t="s">
        <v>27</v>
      </c>
      <c r="D4603" s="5" t="s">
        <v>28</v>
      </c>
      <c r="E4603" s="5" t="s">
        <v>515</v>
      </c>
      <c r="F4603" s="9">
        <v>102</v>
      </c>
      <c r="G4603" s="9">
        <v>1138</v>
      </c>
      <c r="H4603" s="5" t="s">
        <v>20</v>
      </c>
      <c r="I4603" s="5" t="s">
        <v>10998</v>
      </c>
      <c r="J4603" s="12" t="str">
        <f>HYPERLINK("https://www.boe.es/gazeta/dias/1804/12/21/pdfs/GMD-1804-102.pdf#page=6","Abrir facsímil")</f>
        <v>Abrir facsímil</v>
      </c>
      <c r="K4603" s="15" t="s">
        <v>22</v>
      </c>
    </row>
    <row r="4604" spans="1:11" ht="42" customHeight="1">
      <c r="A4604" s="4" t="s">
        <v>10999</v>
      </c>
      <c r="B4604" s="5" t="s">
        <v>11000</v>
      </c>
      <c r="C4604" s="5" t="s">
        <v>17</v>
      </c>
      <c r="D4604" s="5" t="s">
        <v>18</v>
      </c>
      <c r="E4604" s="5" t="s">
        <v>308</v>
      </c>
      <c r="F4604" s="9">
        <v>96</v>
      </c>
      <c r="G4604" s="9">
        <v>1067</v>
      </c>
      <c r="H4604" s="5" t="s">
        <v>20</v>
      </c>
      <c r="I4604" s="5" t="s">
        <v>11001</v>
      </c>
      <c r="J4604" s="12" t="str">
        <f>HYPERLINK("https://www.boe.es/gazeta/dias/1804/11/30/pdfs/GMD-1804-96.pdf#page=7","Abrir facsímil")</f>
        <v>Abrir facsímil</v>
      </c>
      <c r="K4604" s="15" t="s">
        <v>22</v>
      </c>
    </row>
    <row r="4605" spans="1:11" ht="42" customHeight="1">
      <c r="A4605" s="4" t="s">
        <v>11002</v>
      </c>
      <c r="B4605" s="5" t="s">
        <v>11003</v>
      </c>
      <c r="C4605" s="5" t="s">
        <v>65</v>
      </c>
      <c r="D4605" s="5" t="s">
        <v>66</v>
      </c>
      <c r="E4605" s="5" t="s">
        <v>1095</v>
      </c>
      <c r="F4605" s="9">
        <v>73</v>
      </c>
      <c r="G4605" s="9">
        <v>822</v>
      </c>
      <c r="H4605" s="5" t="s">
        <v>20</v>
      </c>
      <c r="I4605" s="5" t="s">
        <v>11004</v>
      </c>
      <c r="J4605" s="12" t="str">
        <f>HYPERLINK("https://www.boe.es/gazeta/dias/1804/09/11/pdfs/GMD-1804-73.pdf#page=12","Abrir facsímil")</f>
        <v>Abrir facsímil</v>
      </c>
      <c r="K4605" s="15" t="s">
        <v>22</v>
      </c>
    </row>
    <row r="4606" spans="1:11" ht="42" customHeight="1">
      <c r="A4606" s="4" t="s">
        <v>11005</v>
      </c>
      <c r="B4606" s="5" t="s">
        <v>11006</v>
      </c>
      <c r="C4606" s="5" t="s">
        <v>27</v>
      </c>
      <c r="D4606" s="5" t="s">
        <v>28</v>
      </c>
      <c r="E4606" s="5" t="s">
        <v>354</v>
      </c>
      <c r="F4606" s="9">
        <v>1</v>
      </c>
      <c r="G4606" s="9">
        <v>10</v>
      </c>
      <c r="H4606" s="5" t="s">
        <v>20</v>
      </c>
      <c r="I4606" s="5" t="s">
        <v>11007</v>
      </c>
      <c r="J4606" s="12" t="str">
        <f>HYPERLINK("https://www.boe.es/gazeta/dias/1804/01/03/pdfs/GMD-1804-1.pdf#page=10","Abrir facsímil")</f>
        <v>Abrir facsímil</v>
      </c>
      <c r="K4606" s="15" t="s">
        <v>22</v>
      </c>
    </row>
    <row r="4607" spans="1:11" ht="42" customHeight="1">
      <c r="A4607" s="4" t="s">
        <v>11005</v>
      </c>
      <c r="B4607" s="5" t="s">
        <v>11006</v>
      </c>
      <c r="C4607" s="5" t="s">
        <v>17</v>
      </c>
      <c r="D4607" s="5" t="s">
        <v>18</v>
      </c>
      <c r="E4607" s="5" t="s">
        <v>398</v>
      </c>
      <c r="F4607" s="9">
        <v>22</v>
      </c>
      <c r="G4607" s="9">
        <v>247</v>
      </c>
      <c r="H4607" s="5" t="s">
        <v>20</v>
      </c>
      <c r="I4607" s="5" t="s">
        <v>11008</v>
      </c>
      <c r="J4607" s="12" t="str">
        <f>HYPERLINK("https://www.boe.es/gazeta/dias/1804/03/16/pdfs/GMD-1804-22.pdf#page=11","Abrir facsímil")</f>
        <v>Abrir facsímil</v>
      </c>
      <c r="K4607" s="15" t="s">
        <v>22</v>
      </c>
    </row>
    <row r="4608" spans="1:11" ht="42" customHeight="1">
      <c r="A4608" s="4" t="s">
        <v>11009</v>
      </c>
      <c r="B4608" s="5" t="s">
        <v>11010</v>
      </c>
      <c r="C4608" s="5" t="s">
        <v>57</v>
      </c>
      <c r="D4608" s="5" t="s">
        <v>58</v>
      </c>
      <c r="E4608" s="5" t="s">
        <v>178</v>
      </c>
      <c r="F4608" s="9">
        <v>20</v>
      </c>
      <c r="G4608" s="9">
        <v>213</v>
      </c>
      <c r="H4608" s="5" t="s">
        <v>20</v>
      </c>
      <c r="I4608" s="5" t="s">
        <v>11011</v>
      </c>
      <c r="J4608" s="12" t="str">
        <f>HYPERLINK("https://www.boe.es/gazeta/dias/1804/03/09/pdfs/GMD-1804-20.pdf#page=1","Abrir facsímil")</f>
        <v>Abrir facsímil</v>
      </c>
      <c r="K4608" s="15" t="s">
        <v>22</v>
      </c>
    </row>
    <row r="4609" spans="1:11" ht="42" customHeight="1">
      <c r="A4609" s="4" t="s">
        <v>11012</v>
      </c>
      <c r="B4609" s="5" t="s">
        <v>11013</v>
      </c>
      <c r="C4609" s="5" t="s">
        <v>17</v>
      </c>
      <c r="D4609" s="5" t="s">
        <v>18</v>
      </c>
      <c r="E4609" s="5" t="s">
        <v>81</v>
      </c>
      <c r="F4609" s="9">
        <v>98</v>
      </c>
      <c r="G4609" s="9">
        <v>1090</v>
      </c>
      <c r="H4609" s="5" t="s">
        <v>20</v>
      </c>
      <c r="I4609" s="5" t="s">
        <v>11014</v>
      </c>
      <c r="J4609" s="12" t="str">
        <f>HYPERLINK("https://www.boe.es/gazeta/dias/1804/12/07/pdfs/GMD-1804-98.pdf#page=6","Abrir facsímil")</f>
        <v>Abrir facsímil</v>
      </c>
      <c r="K4609" s="15" t="s">
        <v>22</v>
      </c>
    </row>
    <row r="4610" spans="1:11" ht="42" customHeight="1">
      <c r="A4610" s="4" t="s">
        <v>11015</v>
      </c>
      <c r="B4610" s="5" t="s">
        <v>11015</v>
      </c>
      <c r="C4610" s="5" t="s">
        <v>17</v>
      </c>
      <c r="D4610" s="5" t="s">
        <v>18</v>
      </c>
      <c r="E4610" s="5" t="s">
        <v>41</v>
      </c>
      <c r="F4610" s="9">
        <v>24</v>
      </c>
      <c r="G4610" s="9">
        <v>277</v>
      </c>
      <c r="H4610" s="5" t="s">
        <v>20</v>
      </c>
      <c r="I4610" s="5" t="s">
        <v>11016</v>
      </c>
      <c r="J4610" s="12" t="str">
        <f>HYPERLINK("https://www.boe.es/gazeta/dias/1804/03/23/pdfs/GMD-1804-24.pdf#page=11","Abrir facsímil")</f>
        <v>Abrir facsímil</v>
      </c>
      <c r="K4610" s="15" t="s">
        <v>22</v>
      </c>
    </row>
    <row r="4611" spans="1:11" ht="42" customHeight="1">
      <c r="A4611" s="4" t="s">
        <v>11017</v>
      </c>
      <c r="B4611" s="5" t="s">
        <v>11017</v>
      </c>
      <c r="C4611" s="5" t="s">
        <v>65</v>
      </c>
      <c r="D4611" s="5" t="s">
        <v>66</v>
      </c>
      <c r="E4611" s="5" t="s">
        <v>678</v>
      </c>
      <c r="F4611" s="9">
        <v>104</v>
      </c>
      <c r="G4611" s="9">
        <v>1162</v>
      </c>
      <c r="H4611" s="5" t="s">
        <v>20</v>
      </c>
      <c r="I4611" s="5" t="s">
        <v>11018</v>
      </c>
      <c r="J4611" s="12" t="str">
        <f>HYPERLINK("https://www.boe.es/gazeta/dias/1804/12/28/pdfs/GMD-1804-104.pdf#page=10","Abrir facsímil")</f>
        <v>Abrir facsímil</v>
      </c>
      <c r="K4611" s="15" t="s">
        <v>22</v>
      </c>
    </row>
    <row r="4612" spans="1:11" ht="42" customHeight="1">
      <c r="A4612" s="4" t="s">
        <v>11019</v>
      </c>
      <c r="B4612" s="5" t="s">
        <v>11019</v>
      </c>
      <c r="C4612" s="5" t="s">
        <v>65</v>
      </c>
      <c r="D4612" s="5" t="s">
        <v>66</v>
      </c>
      <c r="E4612" s="5" t="s">
        <v>54</v>
      </c>
      <c r="F4612" s="9">
        <v>63</v>
      </c>
      <c r="G4612" s="9">
        <v>700</v>
      </c>
      <c r="H4612" s="5" t="s">
        <v>20</v>
      </c>
      <c r="I4612" s="5" t="s">
        <v>11020</v>
      </c>
      <c r="J4612" s="12" t="str">
        <f>HYPERLINK("https://www.boe.es/gazeta/dias/1804/08/07/pdfs/GMD-1804-63.pdf#page=10","Abrir facsímil")</f>
        <v>Abrir facsímil</v>
      </c>
      <c r="K4612" s="15" t="s">
        <v>22</v>
      </c>
    </row>
    <row r="4613" spans="1:11" ht="42" customHeight="1">
      <c r="A4613" s="4" t="s">
        <v>11021</v>
      </c>
      <c r="B4613" s="5" t="s">
        <v>11022</v>
      </c>
      <c r="C4613" s="5" t="s">
        <v>17</v>
      </c>
      <c r="D4613" s="5" t="s">
        <v>18</v>
      </c>
      <c r="E4613" s="5" t="s">
        <v>298</v>
      </c>
      <c r="F4613" s="9">
        <v>10</v>
      </c>
      <c r="G4613" s="9">
        <v>112</v>
      </c>
      <c r="H4613" s="5" t="s">
        <v>20</v>
      </c>
      <c r="I4613" s="5" t="s">
        <v>11023</v>
      </c>
      <c r="J4613" s="12" t="str">
        <f>HYPERLINK("https://www.boe.es/gazeta/dias/1804/02/03/pdfs/GMD-1804-10.pdf#page=12","Abrir facsímil")</f>
        <v>Abrir facsímil</v>
      </c>
      <c r="K4613" s="15" t="s">
        <v>22</v>
      </c>
    </row>
    <row r="4614" spans="1:11" ht="42" customHeight="1">
      <c r="A4614" s="4" t="s">
        <v>11024</v>
      </c>
      <c r="B4614" s="5" t="s">
        <v>11025</v>
      </c>
      <c r="C4614" s="5" t="s">
        <v>120</v>
      </c>
      <c r="D4614" s="5" t="s">
        <v>121</v>
      </c>
      <c r="E4614" s="5" t="s">
        <v>33</v>
      </c>
      <c r="F4614" s="9">
        <v>48</v>
      </c>
      <c r="G4614" s="9" t="s">
        <v>285</v>
      </c>
      <c r="H4614" s="5" t="s">
        <v>20</v>
      </c>
      <c r="I4614" s="5" t="s">
        <v>11026</v>
      </c>
      <c r="J4614" s="12" t="str">
        <f>HYPERLINK("https://www.boe.es/gazeta/dias/1804/06/15/pdfs/GMD-C-1804-48.pdf#page=2","Abrir facsímil")</f>
        <v>Abrir facsímil</v>
      </c>
      <c r="K4614" s="15" t="s">
        <v>22</v>
      </c>
    </row>
    <row r="4615" spans="1:11" ht="42" customHeight="1">
      <c r="A4615" s="4" t="s">
        <v>11027</v>
      </c>
      <c r="B4615" s="5" t="s">
        <v>11028</v>
      </c>
      <c r="C4615" s="5" t="s">
        <v>27</v>
      </c>
      <c r="D4615" s="5" t="s">
        <v>28</v>
      </c>
      <c r="E4615" s="5" t="s">
        <v>950</v>
      </c>
      <c r="F4615" s="9">
        <v>90</v>
      </c>
      <c r="G4615" s="9">
        <v>998</v>
      </c>
      <c r="H4615" s="5" t="s">
        <v>20</v>
      </c>
      <c r="I4615" s="5" t="s">
        <v>11029</v>
      </c>
      <c r="J4615" s="12" t="str">
        <f>HYPERLINK("https://www.boe.es/gazeta/dias/1804/11/09/pdfs/GMD-1804-90.pdf#page=6","Abrir facsímil")</f>
        <v>Abrir facsímil</v>
      </c>
      <c r="K4615" s="15" t="s">
        <v>22</v>
      </c>
    </row>
    <row r="4616" spans="1:11" ht="42" customHeight="1">
      <c r="A4616" s="4" t="s">
        <v>11030</v>
      </c>
      <c r="B4616" s="5" t="s">
        <v>11031</v>
      </c>
      <c r="C4616" s="5" t="s">
        <v>27</v>
      </c>
      <c r="D4616" s="5" t="s">
        <v>28</v>
      </c>
      <c r="E4616" s="5" t="s">
        <v>216</v>
      </c>
      <c r="F4616" s="9">
        <v>67</v>
      </c>
      <c r="G4616" s="9">
        <v>751</v>
      </c>
      <c r="H4616" s="5" t="s">
        <v>20</v>
      </c>
      <c r="I4616" s="5" t="s">
        <v>11032</v>
      </c>
      <c r="J4616" s="12" t="str">
        <f>HYPERLINK("https://www.boe.es/gazeta/dias/1804/08/21/pdfs/GMD-1804-67.pdf#page=9","Abrir facsímil")</f>
        <v>Abrir facsímil</v>
      </c>
      <c r="K4616" s="15" t="s">
        <v>22</v>
      </c>
    </row>
    <row r="4617" spans="1:11" ht="42" customHeight="1">
      <c r="A4617" s="4" t="s">
        <v>11033</v>
      </c>
      <c r="B4617" s="5" t="s">
        <v>11034</v>
      </c>
      <c r="C4617" s="5" t="s">
        <v>27</v>
      </c>
      <c r="D4617" s="5" t="s">
        <v>28</v>
      </c>
      <c r="E4617" s="5" t="s">
        <v>163</v>
      </c>
      <c r="F4617" s="9">
        <v>70</v>
      </c>
      <c r="G4617" s="9">
        <v>779</v>
      </c>
      <c r="H4617" s="5" t="s">
        <v>20</v>
      </c>
      <c r="I4617" s="5" t="s">
        <v>11035</v>
      </c>
      <c r="J4617" s="12" t="str">
        <f>HYPERLINK("https://www.boe.es/gazeta/dias/1804/08/31/pdfs/GMD-1804-70.pdf#page=1","Abrir facsímil")</f>
        <v>Abrir facsímil</v>
      </c>
      <c r="K4617" s="15" t="s">
        <v>22</v>
      </c>
    </row>
    <row r="4618" spans="1:11" ht="42" customHeight="1">
      <c r="A4618" s="4" t="s">
        <v>11036</v>
      </c>
      <c r="B4618" s="5" t="s">
        <v>11037</v>
      </c>
      <c r="C4618" s="5" t="s">
        <v>27</v>
      </c>
      <c r="D4618" s="5" t="s">
        <v>28</v>
      </c>
      <c r="E4618" s="5" t="s">
        <v>241</v>
      </c>
      <c r="F4618" s="9">
        <v>71</v>
      </c>
      <c r="G4618" s="9">
        <v>797</v>
      </c>
      <c r="H4618" s="5" t="s">
        <v>20</v>
      </c>
      <c r="I4618" s="5" t="s">
        <v>11038</v>
      </c>
      <c r="J4618" s="12" t="str">
        <f>HYPERLINK("https://www.boe.es/gazeta/dias/1804/09/04/pdfs/GMD-C-1804-71.pdf#page=3","Abrir facsímil")</f>
        <v>Abrir facsímil</v>
      </c>
      <c r="K4618" s="15" t="s">
        <v>22</v>
      </c>
    </row>
    <row r="4619" spans="1:11" ht="42" customHeight="1">
      <c r="A4619" s="4" t="s">
        <v>11039</v>
      </c>
      <c r="B4619" s="5" t="s">
        <v>11040</v>
      </c>
      <c r="C4619" s="5" t="s">
        <v>17</v>
      </c>
      <c r="D4619" s="5" t="s">
        <v>18</v>
      </c>
      <c r="E4619" s="5" t="s">
        <v>1278</v>
      </c>
      <c r="F4619" s="9">
        <v>37</v>
      </c>
      <c r="G4619" s="9">
        <v>410</v>
      </c>
      <c r="H4619" s="5" t="s">
        <v>20</v>
      </c>
      <c r="I4619" s="5" t="s">
        <v>11041</v>
      </c>
      <c r="J4619" s="12" t="str">
        <f>HYPERLINK("https://www.boe.es/gazeta/dias/1804/05/08/pdfs/GMD-1804-37.pdf#page=8","Abrir facsímil")</f>
        <v>Abrir facsímil</v>
      </c>
      <c r="K4619" s="15" t="s">
        <v>22</v>
      </c>
    </row>
    <row r="4620" spans="1:11" ht="42" customHeight="1">
      <c r="A4620" s="4" t="s">
        <v>11042</v>
      </c>
      <c r="B4620" s="5" t="s">
        <v>11043</v>
      </c>
      <c r="C4620" s="5" t="s">
        <v>120</v>
      </c>
      <c r="D4620" s="5" t="s">
        <v>121</v>
      </c>
      <c r="E4620" s="5" t="s">
        <v>33</v>
      </c>
      <c r="F4620" s="9">
        <v>48</v>
      </c>
      <c r="G4620" s="9" t="s">
        <v>819</v>
      </c>
      <c r="H4620" s="5" t="s">
        <v>20</v>
      </c>
      <c r="I4620" s="5" t="s">
        <v>11044</v>
      </c>
      <c r="J4620" s="12" t="str">
        <f>HYPERLINK("https://www.boe.es/gazeta/dias/1804/06/15/pdfs/GMD-C-1804-48.pdf#page=4","Abrir facsímil")</f>
        <v>Abrir facsímil</v>
      </c>
      <c r="K4620" s="15" t="s">
        <v>22</v>
      </c>
    </row>
    <row r="4621" spans="1:11" ht="42" customHeight="1">
      <c r="A4621" s="4" t="s">
        <v>11042</v>
      </c>
      <c r="B4621" s="5" t="s">
        <v>11043</v>
      </c>
      <c r="C4621" s="5" t="s">
        <v>17</v>
      </c>
      <c r="D4621" s="5" t="s">
        <v>18</v>
      </c>
      <c r="E4621" s="5" t="s">
        <v>950</v>
      </c>
      <c r="F4621" s="9">
        <v>90</v>
      </c>
      <c r="G4621" s="9">
        <v>999</v>
      </c>
      <c r="H4621" s="5" t="s">
        <v>20</v>
      </c>
      <c r="I4621" s="5" t="s">
        <v>11045</v>
      </c>
      <c r="J4621" s="12" t="str">
        <f>HYPERLINK("https://www.boe.es/gazeta/dias/1804/11/09/pdfs/GMD-1804-90.pdf#page=7","Abrir facsímil")</f>
        <v>Abrir facsímil</v>
      </c>
      <c r="K4621" s="15" t="s">
        <v>22</v>
      </c>
    </row>
    <row r="4622" spans="1:11" ht="42" customHeight="1">
      <c r="A4622" s="4" t="s">
        <v>11046</v>
      </c>
      <c r="B4622" s="5" t="s">
        <v>11047</v>
      </c>
      <c r="C4622" s="5" t="s">
        <v>17</v>
      </c>
      <c r="D4622" s="5" t="s">
        <v>18</v>
      </c>
      <c r="E4622" s="5" t="s">
        <v>526</v>
      </c>
      <c r="F4622" s="9">
        <v>95</v>
      </c>
      <c r="G4622" s="9">
        <v>1059</v>
      </c>
      <c r="H4622" s="5" t="s">
        <v>20</v>
      </c>
      <c r="I4622" s="5" t="s">
        <v>11048</v>
      </c>
      <c r="J4622" s="12" t="str">
        <f>HYPERLINK("https://www.boe.es/gazeta/dias/1804/11/27/pdfs/GMD-1804-95.pdf#page=11","Abrir facsímil")</f>
        <v>Abrir facsímil</v>
      </c>
      <c r="K4622" s="15" t="s">
        <v>22</v>
      </c>
    </row>
    <row r="4623" spans="1:11" ht="42" customHeight="1">
      <c r="A4623" s="4" t="s">
        <v>11049</v>
      </c>
      <c r="B4623" s="5" t="s">
        <v>11050</v>
      </c>
      <c r="C4623" s="5" t="s">
        <v>27</v>
      </c>
      <c r="D4623" s="5" t="s">
        <v>28</v>
      </c>
      <c r="E4623" s="5" t="s">
        <v>378</v>
      </c>
      <c r="F4623" s="9">
        <v>65</v>
      </c>
      <c r="G4623" s="9">
        <v>731</v>
      </c>
      <c r="H4623" s="5" t="s">
        <v>20</v>
      </c>
      <c r="I4623" s="5" t="s">
        <v>11051</v>
      </c>
      <c r="J4623" s="12" t="str">
        <f>HYPERLINK("https://www.boe.es/gazeta/dias/1804/08/14/pdfs/GMD-1804-65.pdf#page=9","Abrir facsímil")</f>
        <v>Abrir facsímil</v>
      </c>
      <c r="K4623" s="15" t="s">
        <v>22</v>
      </c>
    </row>
    <row r="4624" spans="1:11" ht="42" customHeight="1">
      <c r="A4624" s="4" t="s">
        <v>11052</v>
      </c>
      <c r="B4624" s="5" t="s">
        <v>11052</v>
      </c>
      <c r="C4624" s="5" t="s">
        <v>27</v>
      </c>
      <c r="D4624" s="5" t="s">
        <v>28</v>
      </c>
      <c r="E4624" s="5" t="s">
        <v>704</v>
      </c>
      <c r="F4624" s="9">
        <v>36</v>
      </c>
      <c r="G4624" s="9">
        <v>400</v>
      </c>
      <c r="H4624" s="5" t="s">
        <v>20</v>
      </c>
      <c r="I4624" s="5" t="s">
        <v>11053</v>
      </c>
      <c r="J4624" s="12" t="str">
        <f>HYPERLINK("https://www.boe.es/gazeta/dias/1804/05/04/pdfs/GMD-1804-36.pdf#page=10","Abrir facsímil")</f>
        <v>Abrir facsímil</v>
      </c>
      <c r="K4624" s="15" t="s">
        <v>22</v>
      </c>
    </row>
    <row r="4625" spans="1:11" ht="42" customHeight="1">
      <c r="A4625" s="4" t="s">
        <v>11054</v>
      </c>
      <c r="B4625" s="5" t="s">
        <v>11054</v>
      </c>
      <c r="C4625" s="5" t="s">
        <v>17</v>
      </c>
      <c r="D4625" s="5" t="s">
        <v>18</v>
      </c>
      <c r="E4625" s="5" t="s">
        <v>71</v>
      </c>
      <c r="F4625" s="9">
        <v>99</v>
      </c>
      <c r="G4625" s="9">
        <v>1106</v>
      </c>
      <c r="H4625" s="5" t="s">
        <v>20</v>
      </c>
      <c r="I4625" s="5" t="s">
        <v>11055</v>
      </c>
      <c r="J4625" s="12" t="str">
        <f>HYPERLINK("https://www.boe.es/gazeta/dias/1804/12/11/pdfs/GMD-1804-99.pdf#page=6","Abrir facsímil")</f>
        <v>Abrir facsímil</v>
      </c>
      <c r="K4625" s="15" t="s">
        <v>22</v>
      </c>
    </row>
    <row r="4626" spans="1:11" ht="42" customHeight="1">
      <c r="A4626" s="4" t="s">
        <v>11056</v>
      </c>
      <c r="B4626" s="5" t="s">
        <v>11056</v>
      </c>
      <c r="C4626" s="5" t="s">
        <v>65</v>
      </c>
      <c r="D4626" s="5" t="s">
        <v>66</v>
      </c>
      <c r="E4626" s="5" t="s">
        <v>241</v>
      </c>
      <c r="F4626" s="9">
        <v>71</v>
      </c>
      <c r="G4626" s="9">
        <v>791</v>
      </c>
      <c r="H4626" s="5" t="s">
        <v>20</v>
      </c>
      <c r="I4626" s="5" t="s">
        <v>11057</v>
      </c>
      <c r="J4626" s="12" t="str">
        <f>HYPERLINK("https://www.boe.es/gazeta/dias/1804/09/04/pdfs/GMD-1804-71.pdf#page=5","Abrir facsímil")</f>
        <v>Abrir facsímil</v>
      </c>
      <c r="K4626" s="15" t="s">
        <v>22</v>
      </c>
    </row>
    <row r="4627" spans="1:11" ht="42" customHeight="1">
      <c r="A4627" s="4" t="s">
        <v>11058</v>
      </c>
      <c r="B4627" s="5" t="s">
        <v>11058</v>
      </c>
      <c r="C4627" s="5" t="s">
        <v>27</v>
      </c>
      <c r="D4627" s="5" t="s">
        <v>28</v>
      </c>
      <c r="E4627" s="5" t="s">
        <v>479</v>
      </c>
      <c r="F4627" s="9">
        <v>5</v>
      </c>
      <c r="G4627" s="9">
        <v>47</v>
      </c>
      <c r="H4627" s="5" t="s">
        <v>20</v>
      </c>
      <c r="I4627" s="5" t="s">
        <v>11059</v>
      </c>
      <c r="J4627" s="12" t="str">
        <f>HYPERLINK("https://www.boe.es/gazeta/dias/1804/01/17/pdfs/GMD-1804-5.pdf#page=7","Abrir facsímil")</f>
        <v>Abrir facsímil</v>
      </c>
      <c r="K4627" s="15" t="s">
        <v>22</v>
      </c>
    </row>
    <row r="4628" spans="1:11" ht="42" customHeight="1">
      <c r="A4628" s="4" t="s">
        <v>11060</v>
      </c>
      <c r="B4628" s="5" t="s">
        <v>11060</v>
      </c>
      <c r="C4628" s="5" t="s">
        <v>17</v>
      </c>
      <c r="D4628" s="5" t="s">
        <v>18</v>
      </c>
      <c r="E4628" s="5" t="s">
        <v>87</v>
      </c>
      <c r="F4628" s="9">
        <v>9</v>
      </c>
      <c r="G4628" s="9">
        <v>98</v>
      </c>
      <c r="H4628" s="5" t="s">
        <v>20</v>
      </c>
      <c r="I4628" s="5" t="s">
        <v>11061</v>
      </c>
      <c r="J4628" s="12" t="str">
        <f>HYPERLINK("https://www.boe.es/gazeta/dias/1804/01/31/pdfs/GMD-1804-9.pdf#page=10","Abrir facsímil")</f>
        <v>Abrir facsímil</v>
      </c>
      <c r="K4628" s="15" t="s">
        <v>22</v>
      </c>
    </row>
    <row r="4629" spans="1:11" ht="42" customHeight="1">
      <c r="A4629" s="4" t="s">
        <v>11062</v>
      </c>
      <c r="B4629" s="5" t="s">
        <v>11062</v>
      </c>
      <c r="C4629" s="5" t="s">
        <v>27</v>
      </c>
      <c r="D4629" s="5" t="s">
        <v>28</v>
      </c>
      <c r="E4629" s="5" t="s">
        <v>950</v>
      </c>
      <c r="F4629" s="9">
        <v>90</v>
      </c>
      <c r="G4629" s="9">
        <v>998</v>
      </c>
      <c r="H4629" s="5" t="s">
        <v>20</v>
      </c>
      <c r="I4629" s="5" t="s">
        <v>11063</v>
      </c>
      <c r="J4629" s="12" t="str">
        <f>HYPERLINK("https://www.boe.es/gazeta/dias/1804/11/09/pdfs/GMD-1804-90.pdf#page=6","Abrir facsímil")</f>
        <v>Abrir facsímil</v>
      </c>
      <c r="K4629" s="15" t="s">
        <v>22</v>
      </c>
    </row>
    <row r="4630" spans="1:11" ht="42" customHeight="1">
      <c r="A4630" s="4" t="s">
        <v>11064</v>
      </c>
      <c r="B4630" s="5" t="s">
        <v>11064</v>
      </c>
      <c r="C4630" s="5" t="s">
        <v>65</v>
      </c>
      <c r="D4630" s="5" t="s">
        <v>66</v>
      </c>
      <c r="E4630" s="5" t="s">
        <v>484</v>
      </c>
      <c r="F4630" s="9">
        <v>53</v>
      </c>
      <c r="G4630" s="9">
        <v>590</v>
      </c>
      <c r="H4630" s="5" t="s">
        <v>20</v>
      </c>
      <c r="I4630" s="5" t="s">
        <v>11065</v>
      </c>
      <c r="J4630" s="12" t="str">
        <f>HYPERLINK("https://www.boe.es/gazeta/dias/1804/07/03/pdfs/GMD-1804-53.pdf#page=8","Abrir facsímil")</f>
        <v>Abrir facsímil</v>
      </c>
      <c r="K4630" s="15" t="s">
        <v>22</v>
      </c>
    </row>
    <row r="4631" spans="1:11" ht="42" customHeight="1">
      <c r="A4631" s="4" t="s">
        <v>11066</v>
      </c>
      <c r="B4631" s="5" t="s">
        <v>11067</v>
      </c>
      <c r="C4631" s="5" t="s">
        <v>27</v>
      </c>
      <c r="D4631" s="5" t="s">
        <v>28</v>
      </c>
      <c r="E4631" s="5" t="s">
        <v>47</v>
      </c>
      <c r="F4631" s="9">
        <v>78</v>
      </c>
      <c r="G4631" s="9">
        <v>868</v>
      </c>
      <c r="H4631" s="5" t="s">
        <v>20</v>
      </c>
      <c r="I4631" s="5" t="s">
        <v>11068</v>
      </c>
      <c r="J4631" s="12" t="str">
        <f>HYPERLINK("https://www.boe.es/gazeta/dias/1804/09/28/pdfs/GMD-1804-78.pdf#page=6","Abrir facsímil")</f>
        <v>Abrir facsímil</v>
      </c>
      <c r="K4631" s="15" t="s">
        <v>22</v>
      </c>
    </row>
    <row r="4632" spans="1:11" ht="42" customHeight="1">
      <c r="A4632" s="4" t="s">
        <v>11069</v>
      </c>
      <c r="B4632" s="5" t="s">
        <v>11070</v>
      </c>
      <c r="C4632" s="5" t="s">
        <v>85</v>
      </c>
      <c r="D4632" s="5" t="s">
        <v>86</v>
      </c>
      <c r="E4632" s="5" t="s">
        <v>427</v>
      </c>
      <c r="F4632" s="9">
        <v>80</v>
      </c>
      <c r="G4632" s="9">
        <v>890</v>
      </c>
      <c r="H4632" s="5" t="s">
        <v>20</v>
      </c>
      <c r="I4632" s="5" t="s">
        <v>11071</v>
      </c>
      <c r="J4632" s="12" t="str">
        <f>HYPERLINK("https://www.boe.es/gazeta/dias/1804/10/05/pdfs/GMD-1804-80.pdf#page=8","Abrir facsímil")</f>
        <v>Abrir facsímil</v>
      </c>
      <c r="K4632" s="15" t="s">
        <v>22</v>
      </c>
    </row>
    <row r="4633" spans="1:11" ht="42" customHeight="1">
      <c r="A4633" s="4" t="s">
        <v>11072</v>
      </c>
      <c r="B4633" s="5" t="s">
        <v>11072</v>
      </c>
      <c r="C4633" s="5" t="s">
        <v>27</v>
      </c>
      <c r="D4633" s="5" t="s">
        <v>28</v>
      </c>
      <c r="E4633" s="5" t="s">
        <v>67</v>
      </c>
      <c r="F4633" s="9">
        <v>59</v>
      </c>
      <c r="G4633" s="9">
        <v>656</v>
      </c>
      <c r="H4633" s="5" t="s">
        <v>20</v>
      </c>
      <c r="I4633" s="5" t="s">
        <v>11073</v>
      </c>
      <c r="J4633" s="12" t="str">
        <f>HYPERLINK("https://www.boe.es/gazeta/dias/1804/07/24/pdfs/GMD-1804-59.pdf#page=10","Abrir facsímil")</f>
        <v>Abrir facsímil</v>
      </c>
      <c r="K4633" s="15" t="s">
        <v>22</v>
      </c>
    </row>
    <row r="4634" spans="1:11" ht="42" customHeight="1">
      <c r="A4634" s="4" t="s">
        <v>11074</v>
      </c>
      <c r="B4634" s="5" t="s">
        <v>11074</v>
      </c>
      <c r="C4634" s="5" t="s">
        <v>65</v>
      </c>
      <c r="D4634" s="5" t="s">
        <v>66</v>
      </c>
      <c r="E4634" s="5" t="s">
        <v>67</v>
      </c>
      <c r="F4634" s="9">
        <v>59</v>
      </c>
      <c r="G4634" s="9">
        <v>656</v>
      </c>
      <c r="H4634" s="5" t="s">
        <v>20</v>
      </c>
      <c r="I4634" s="5" t="s">
        <v>11075</v>
      </c>
      <c r="J4634" s="12" t="str">
        <f>HYPERLINK("https://www.boe.es/gazeta/dias/1804/07/24/pdfs/GMD-1804-59.pdf#page=10","Abrir facsímil")</f>
        <v>Abrir facsímil</v>
      </c>
      <c r="K4634" s="15" t="s">
        <v>22</v>
      </c>
    </row>
    <row r="4635" spans="1:11" ht="42" customHeight="1">
      <c r="A4635" s="4" t="s">
        <v>11076</v>
      </c>
      <c r="B4635" s="5" t="s">
        <v>11076</v>
      </c>
      <c r="C4635" s="5" t="s">
        <v>65</v>
      </c>
      <c r="D4635" s="5" t="s">
        <v>66</v>
      </c>
      <c r="E4635" s="5" t="s">
        <v>1095</v>
      </c>
      <c r="F4635" s="9">
        <v>73</v>
      </c>
      <c r="G4635" s="9">
        <v>822</v>
      </c>
      <c r="H4635" s="5" t="s">
        <v>20</v>
      </c>
      <c r="I4635" s="5" t="s">
        <v>11077</v>
      </c>
      <c r="J4635" s="12" t="str">
        <f>HYPERLINK("https://www.boe.es/gazeta/dias/1804/09/11/pdfs/GMD-1804-73.pdf#page=12","Abrir facsímil")</f>
        <v>Abrir facsímil</v>
      </c>
      <c r="K4635" s="15" t="s">
        <v>22</v>
      </c>
    </row>
    <row r="4636" spans="1:11" ht="42" customHeight="1">
      <c r="A4636" s="4" t="s">
        <v>11078</v>
      </c>
      <c r="B4636" s="5" t="s">
        <v>11079</v>
      </c>
      <c r="C4636" s="5" t="s">
        <v>27</v>
      </c>
      <c r="D4636" s="5" t="s">
        <v>28</v>
      </c>
      <c r="E4636" s="5" t="s">
        <v>678</v>
      </c>
      <c r="F4636" s="9">
        <v>104</v>
      </c>
      <c r="G4636" s="9">
        <v>1162</v>
      </c>
      <c r="H4636" s="5" t="s">
        <v>20</v>
      </c>
      <c r="I4636" s="5" t="s">
        <v>11080</v>
      </c>
      <c r="J4636" s="12" t="str">
        <f>HYPERLINK("https://www.boe.es/gazeta/dias/1804/12/28/pdfs/GMD-1804-104.pdf#page=10","Abrir facsímil")</f>
        <v>Abrir facsímil</v>
      </c>
      <c r="K4636" s="15" t="s">
        <v>22</v>
      </c>
    </row>
    <row r="4637" spans="1:11" ht="42" customHeight="1">
      <c r="A4637" s="4" t="s">
        <v>11081</v>
      </c>
      <c r="B4637" s="5" t="s">
        <v>11081</v>
      </c>
      <c r="C4637" s="5" t="s">
        <v>85</v>
      </c>
      <c r="D4637" s="5" t="s">
        <v>86</v>
      </c>
      <c r="E4637" s="5" t="s">
        <v>264</v>
      </c>
      <c r="F4637" s="9">
        <v>49</v>
      </c>
      <c r="G4637" s="9">
        <v>542</v>
      </c>
      <c r="H4637" s="5" t="s">
        <v>20</v>
      </c>
      <c r="I4637" s="5" t="s">
        <v>11082</v>
      </c>
      <c r="J4637" s="12" t="str">
        <f>HYPERLINK("https://www.boe.es/gazeta/dias/1804/06/19/pdfs/GMD-1804-49.pdf#page=4","Abrir facsímil")</f>
        <v>Abrir facsímil</v>
      </c>
      <c r="K4637" s="15" t="s">
        <v>22</v>
      </c>
    </row>
    <row r="4638" spans="1:11" ht="42" customHeight="1">
      <c r="A4638" s="4" t="s">
        <v>11083</v>
      </c>
      <c r="B4638" s="5" t="s">
        <v>11083</v>
      </c>
      <c r="C4638" s="5" t="s">
        <v>57</v>
      </c>
      <c r="D4638" s="5" t="s">
        <v>58</v>
      </c>
      <c r="E4638" s="5" t="s">
        <v>1020</v>
      </c>
      <c r="F4638" s="9">
        <v>103</v>
      </c>
      <c r="G4638" s="9">
        <v>1141</v>
      </c>
      <c r="H4638" s="5" t="s">
        <v>20</v>
      </c>
      <c r="I4638" s="5" t="s">
        <v>11084</v>
      </c>
      <c r="J4638" s="12" t="str">
        <f>HYPERLINK("https://www.boe.es/gazeta/dias/1804/12/25/pdfs/GMD-1804-103.pdf#page=1","Abrir facsímil")</f>
        <v>Abrir facsímil</v>
      </c>
      <c r="K4638" s="15" t="s">
        <v>22</v>
      </c>
    </row>
    <row r="4639" spans="1:11" ht="42" customHeight="1">
      <c r="A4639" s="4" t="s">
        <v>11085</v>
      </c>
      <c r="B4639" s="5" t="s">
        <v>11086</v>
      </c>
      <c r="C4639" s="5" t="s">
        <v>65</v>
      </c>
      <c r="D4639" s="5" t="s">
        <v>66</v>
      </c>
      <c r="E4639" s="5" t="s">
        <v>251</v>
      </c>
      <c r="F4639" s="9">
        <v>79</v>
      </c>
      <c r="G4639" s="9">
        <v>879</v>
      </c>
      <c r="H4639" s="5" t="s">
        <v>20</v>
      </c>
      <c r="I4639" s="5" t="s">
        <v>11087</v>
      </c>
      <c r="J4639" s="12" t="str">
        <f>HYPERLINK("https://www.boe.es/gazeta/dias/1804/10/02/pdfs/GMD-1804-79.pdf#page=9","Abrir facsímil")</f>
        <v>Abrir facsímil</v>
      </c>
      <c r="K4639" s="15" t="s">
        <v>22</v>
      </c>
    </row>
    <row r="4640" spans="1:11" ht="42" customHeight="1">
      <c r="A4640" s="4" t="s">
        <v>11088</v>
      </c>
      <c r="B4640" s="5" t="s">
        <v>11089</v>
      </c>
      <c r="C4640" s="5" t="s">
        <v>65</v>
      </c>
      <c r="D4640" s="5" t="s">
        <v>66</v>
      </c>
      <c r="E4640" s="5" t="s">
        <v>47</v>
      </c>
      <c r="F4640" s="9">
        <v>78</v>
      </c>
      <c r="G4640" s="9">
        <v>868</v>
      </c>
      <c r="H4640" s="5" t="s">
        <v>20</v>
      </c>
      <c r="I4640" s="5" t="s">
        <v>11090</v>
      </c>
      <c r="J4640" s="12" t="str">
        <f>HYPERLINK("https://www.boe.es/gazeta/dias/1804/09/28/pdfs/GMD-1804-78.pdf#page=6","Abrir facsímil")</f>
        <v>Abrir facsímil</v>
      </c>
      <c r="K4640" s="15" t="s">
        <v>22</v>
      </c>
    </row>
    <row r="4641" spans="1:11" ht="42" customHeight="1">
      <c r="A4641" s="4" t="s">
        <v>11091</v>
      </c>
      <c r="B4641" s="5" t="s">
        <v>11092</v>
      </c>
      <c r="C4641" s="5" t="s">
        <v>85</v>
      </c>
      <c r="D4641" s="5" t="s">
        <v>86</v>
      </c>
      <c r="E4641" s="5" t="s">
        <v>258</v>
      </c>
      <c r="F4641" s="9">
        <v>14</v>
      </c>
      <c r="G4641" s="9">
        <v>155</v>
      </c>
      <c r="H4641" s="5" t="s">
        <v>20</v>
      </c>
      <c r="I4641" s="5" t="s">
        <v>11093</v>
      </c>
      <c r="J4641" s="12" t="str">
        <f>HYPERLINK("https://www.boe.es/gazeta/dias/1804/02/17/pdfs/GMD-1804-14.pdf#page=11","Abrir facsímil")</f>
        <v>Abrir facsímil</v>
      </c>
      <c r="K4641" s="15" t="s">
        <v>22</v>
      </c>
    </row>
    <row r="4642" spans="1:11" ht="42" customHeight="1">
      <c r="A4642" s="4" t="s">
        <v>11094</v>
      </c>
      <c r="B4642" s="5" t="s">
        <v>11095</v>
      </c>
      <c r="C4642" s="5" t="s">
        <v>17</v>
      </c>
      <c r="D4642" s="5" t="s">
        <v>18</v>
      </c>
      <c r="E4642" s="5" t="s">
        <v>155</v>
      </c>
      <c r="F4642" s="9">
        <v>92</v>
      </c>
      <c r="G4642" s="9">
        <v>1022</v>
      </c>
      <c r="H4642" s="5" t="s">
        <v>20</v>
      </c>
      <c r="I4642" s="5" t="s">
        <v>11096</v>
      </c>
      <c r="J4642" s="12" t="str">
        <f>HYPERLINK("https://www.boe.es/gazeta/dias/1804/11/16/pdfs/GMD-1804-92.pdf#page=10","Abrir facsímil")</f>
        <v>Abrir facsímil</v>
      </c>
      <c r="K4642" s="15" t="s">
        <v>22</v>
      </c>
    </row>
    <row r="4643" spans="1:11" ht="42" customHeight="1">
      <c r="A4643" s="4" t="s">
        <v>11097</v>
      </c>
      <c r="B4643" s="5" t="s">
        <v>11098</v>
      </c>
      <c r="C4643" s="5" t="s">
        <v>27</v>
      </c>
      <c r="D4643" s="5" t="s">
        <v>28</v>
      </c>
      <c r="E4643" s="5" t="s">
        <v>19</v>
      </c>
      <c r="F4643" s="9">
        <v>60</v>
      </c>
      <c r="G4643" s="9">
        <v>665</v>
      </c>
      <c r="H4643" s="5" t="s">
        <v>20</v>
      </c>
      <c r="I4643" s="5" t="s">
        <v>11099</v>
      </c>
      <c r="J4643" s="12" t="str">
        <f>HYPERLINK("https://www.boe.es/gazeta/dias/1804/07/27/pdfs/GMD-1804-60.pdf#page=7","Abrir facsímil")</f>
        <v>Abrir facsímil</v>
      </c>
      <c r="K4643" s="15" t="s">
        <v>22</v>
      </c>
    </row>
    <row r="4644" spans="1:11" ht="42" customHeight="1">
      <c r="A4644" s="4" t="s">
        <v>11100</v>
      </c>
      <c r="B4644" s="5" t="s">
        <v>11101</v>
      </c>
      <c r="C4644" s="5" t="s">
        <v>27</v>
      </c>
      <c r="D4644" s="5" t="s">
        <v>28</v>
      </c>
      <c r="E4644" s="5" t="s">
        <v>147</v>
      </c>
      <c r="F4644" s="9">
        <v>77</v>
      </c>
      <c r="G4644" s="9">
        <v>859</v>
      </c>
      <c r="H4644" s="5" t="s">
        <v>20</v>
      </c>
      <c r="I4644" s="5" t="s">
        <v>11102</v>
      </c>
      <c r="J4644" s="12" t="str">
        <f>HYPERLINK("https://www.boe.es/gazeta/dias/1804/09/25/pdfs/GMD-1804-77.pdf#page=9","Abrir facsímil")</f>
        <v>Abrir facsímil</v>
      </c>
      <c r="K4644" s="15" t="s">
        <v>22</v>
      </c>
    </row>
    <row r="4645" spans="1:11" ht="42" customHeight="1">
      <c r="A4645" s="4" t="s">
        <v>11103</v>
      </c>
      <c r="B4645" s="5" t="s">
        <v>11104</v>
      </c>
      <c r="C4645" s="5" t="s">
        <v>27</v>
      </c>
      <c r="D4645" s="5" t="s">
        <v>28</v>
      </c>
      <c r="E4645" s="5" t="s">
        <v>147</v>
      </c>
      <c r="F4645" s="9">
        <v>77</v>
      </c>
      <c r="G4645" s="9">
        <v>859</v>
      </c>
      <c r="H4645" s="5" t="s">
        <v>20</v>
      </c>
      <c r="I4645" s="5" t="s">
        <v>11105</v>
      </c>
      <c r="J4645" s="12" t="str">
        <f>HYPERLINK("https://www.boe.es/gazeta/dias/1804/09/25/pdfs/GMD-1804-77.pdf#page=9","Abrir facsímil")</f>
        <v>Abrir facsímil</v>
      </c>
      <c r="K4645" s="15" t="s">
        <v>22</v>
      </c>
    </row>
    <row r="4646" spans="1:11" ht="42" customHeight="1">
      <c r="A4646" s="4" t="s">
        <v>11106</v>
      </c>
      <c r="B4646" s="5" t="s">
        <v>11107</v>
      </c>
      <c r="C4646" s="5" t="s">
        <v>27</v>
      </c>
      <c r="D4646" s="5" t="s">
        <v>28</v>
      </c>
      <c r="E4646" s="5" t="s">
        <v>67</v>
      </c>
      <c r="F4646" s="9">
        <v>59</v>
      </c>
      <c r="G4646" s="9">
        <v>653</v>
      </c>
      <c r="H4646" s="5" t="s">
        <v>20</v>
      </c>
      <c r="I4646" s="5" t="s">
        <v>11108</v>
      </c>
      <c r="J4646" s="12" t="str">
        <f>HYPERLINK("https://www.boe.es/gazeta/dias/1804/07/24/pdfs/GMD-1804-59.pdf#page=7","Abrir facsímil")</f>
        <v>Abrir facsímil</v>
      </c>
      <c r="K4646" s="15" t="s">
        <v>22</v>
      </c>
    </row>
    <row r="4647" spans="1:11" ht="42" customHeight="1">
      <c r="A4647" s="4" t="s">
        <v>11109</v>
      </c>
      <c r="B4647" s="5" t="s">
        <v>11110</v>
      </c>
      <c r="C4647" s="5" t="s">
        <v>262</v>
      </c>
      <c r="D4647" s="5" t="s">
        <v>263</v>
      </c>
      <c r="E4647" s="5" t="s">
        <v>398</v>
      </c>
      <c r="F4647" s="9">
        <v>22</v>
      </c>
      <c r="G4647" s="9">
        <v>250</v>
      </c>
      <c r="H4647" s="5" t="s">
        <v>20</v>
      </c>
      <c r="I4647" s="5" t="s">
        <v>11111</v>
      </c>
      <c r="J4647" s="12" t="str">
        <f>HYPERLINK("https://www.boe.es/gazeta/dias/1804/03/16/pdfs/GMD-C-1804-22.pdf#page=2","Abrir facsímil")</f>
        <v>Abrir facsímil</v>
      </c>
      <c r="K4647" s="15" t="s">
        <v>22</v>
      </c>
    </row>
    <row r="4648" spans="1:11" ht="42" customHeight="1">
      <c r="A4648" s="4" t="s">
        <v>11109</v>
      </c>
      <c r="B4648" s="5" t="s">
        <v>11110</v>
      </c>
      <c r="C4648" s="5" t="s">
        <v>262</v>
      </c>
      <c r="D4648" s="5" t="s">
        <v>263</v>
      </c>
      <c r="E4648" s="5" t="s">
        <v>666</v>
      </c>
      <c r="F4648" s="9">
        <v>57</v>
      </c>
      <c r="G4648" s="9">
        <v>636</v>
      </c>
      <c r="H4648" s="5" t="s">
        <v>20</v>
      </c>
      <c r="I4648" s="5" t="s">
        <v>11112</v>
      </c>
      <c r="J4648" s="12" t="str">
        <f>HYPERLINK("https://www.boe.es/gazeta/dias/1804/07/17/pdfs/GMD-C-1804-57.pdf#page=2","Abrir facsímil")</f>
        <v>Abrir facsímil</v>
      </c>
      <c r="K4648" s="15" t="s">
        <v>22</v>
      </c>
    </row>
    <row r="4649" spans="1:11" ht="42" customHeight="1">
      <c r="A4649" s="4" t="s">
        <v>11113</v>
      </c>
      <c r="B4649" s="5" t="s">
        <v>11114</v>
      </c>
      <c r="C4649" s="5" t="s">
        <v>27</v>
      </c>
      <c r="D4649" s="5" t="s">
        <v>28</v>
      </c>
      <c r="E4649" s="5" t="s">
        <v>47</v>
      </c>
      <c r="F4649" s="9">
        <v>78</v>
      </c>
      <c r="G4649" s="9">
        <v>869</v>
      </c>
      <c r="H4649" s="5" t="s">
        <v>20</v>
      </c>
      <c r="I4649" s="5" t="s">
        <v>11115</v>
      </c>
      <c r="J4649" s="12" t="str">
        <f>HYPERLINK("https://www.boe.es/gazeta/dias/1804/09/28/pdfs/GMD-1804-78.pdf#page=7","Abrir facsímil")</f>
        <v>Abrir facsímil</v>
      </c>
      <c r="K4649" s="15" t="s">
        <v>22</v>
      </c>
    </row>
    <row r="4650" spans="1:11" ht="42" customHeight="1">
      <c r="A4650" s="4" t="s">
        <v>11116</v>
      </c>
      <c r="B4650" s="5" t="s">
        <v>11117</v>
      </c>
      <c r="C4650" s="5" t="s">
        <v>17</v>
      </c>
      <c r="D4650" s="5" t="s">
        <v>18</v>
      </c>
      <c r="E4650" s="5" t="s">
        <v>71</v>
      </c>
      <c r="F4650" s="9">
        <v>99</v>
      </c>
      <c r="G4650" s="9">
        <v>1107</v>
      </c>
      <c r="H4650" s="5" t="s">
        <v>20</v>
      </c>
      <c r="I4650" s="5" t="s">
        <v>11118</v>
      </c>
      <c r="J4650" s="12" t="str">
        <f>HYPERLINK("https://www.boe.es/gazeta/dias/1804/12/11/pdfs/GMD-1804-99.pdf#page=7","Abrir facsímil")</f>
        <v>Abrir facsímil</v>
      </c>
      <c r="K4650" s="15" t="s">
        <v>22</v>
      </c>
    </row>
    <row r="4651" spans="1:11" ht="42" customHeight="1">
      <c r="A4651" s="4" t="s">
        <v>11119</v>
      </c>
      <c r="B4651" s="5" t="s">
        <v>11120</v>
      </c>
      <c r="C4651" s="5" t="s">
        <v>27</v>
      </c>
      <c r="D4651" s="5" t="s">
        <v>28</v>
      </c>
      <c r="E4651" s="5" t="s">
        <v>623</v>
      </c>
      <c r="F4651" s="9">
        <v>51</v>
      </c>
      <c r="G4651" s="9">
        <v>562</v>
      </c>
      <c r="H4651" s="5" t="s">
        <v>20</v>
      </c>
      <c r="I4651" s="5" t="s">
        <v>11121</v>
      </c>
      <c r="J4651" s="12" t="str">
        <f>HYPERLINK("https://www.boe.es/gazeta/dias/1804/06/26/pdfs/GMD-1804-51.pdf#page=8","Abrir facsímil")</f>
        <v>Abrir facsímil</v>
      </c>
      <c r="K4651" s="15" t="s">
        <v>22</v>
      </c>
    </row>
    <row r="4652" spans="1:11" ht="42" customHeight="1">
      <c r="A4652" s="4" t="s">
        <v>11122</v>
      </c>
      <c r="B4652" s="5" t="s">
        <v>11122</v>
      </c>
      <c r="C4652" s="5" t="s">
        <v>27</v>
      </c>
      <c r="D4652" s="5" t="s">
        <v>28</v>
      </c>
      <c r="E4652" s="5" t="s">
        <v>216</v>
      </c>
      <c r="F4652" s="9">
        <v>67</v>
      </c>
      <c r="G4652" s="9">
        <v>750</v>
      </c>
      <c r="H4652" s="5" t="s">
        <v>20</v>
      </c>
      <c r="I4652" s="5" t="s">
        <v>11123</v>
      </c>
      <c r="J4652" s="12" t="str">
        <f>HYPERLINK("https://www.boe.es/gazeta/dias/1804/08/21/pdfs/GMD-1804-67.pdf#page=8","Abrir facsímil")</f>
        <v>Abrir facsímil</v>
      </c>
      <c r="K4652" s="15" t="s">
        <v>22</v>
      </c>
    </row>
    <row r="4653" spans="1:11" ht="42" customHeight="1">
      <c r="A4653" s="4" t="s">
        <v>11124</v>
      </c>
      <c r="B4653" s="5" t="s">
        <v>11124</v>
      </c>
      <c r="C4653" s="5" t="s">
        <v>65</v>
      </c>
      <c r="D4653" s="5" t="s">
        <v>66</v>
      </c>
      <c r="E4653" s="5" t="s">
        <v>466</v>
      </c>
      <c r="F4653" s="9">
        <v>76</v>
      </c>
      <c r="G4653" s="9">
        <v>847</v>
      </c>
      <c r="H4653" s="5" t="s">
        <v>20</v>
      </c>
      <c r="I4653" s="5" t="s">
        <v>11125</v>
      </c>
      <c r="J4653" s="12" t="str">
        <f>HYPERLINK("https://www.boe.es/gazeta/dias/1804/09/21/pdfs/GMD-1804-76.pdf#page=5","Abrir facsímil")</f>
        <v>Abrir facsímil</v>
      </c>
      <c r="K4653" s="15" t="s">
        <v>22</v>
      </c>
    </row>
    <row r="4654" spans="1:11" ht="42" customHeight="1">
      <c r="A4654" s="4" t="s">
        <v>11126</v>
      </c>
      <c r="B4654" s="5" t="s">
        <v>11127</v>
      </c>
      <c r="C4654" s="5" t="s">
        <v>17</v>
      </c>
      <c r="D4654" s="5" t="s">
        <v>18</v>
      </c>
      <c r="E4654" s="5" t="s">
        <v>37</v>
      </c>
      <c r="F4654" s="9">
        <v>29</v>
      </c>
      <c r="G4654" s="9">
        <v>318</v>
      </c>
      <c r="H4654" s="5" t="s">
        <v>20</v>
      </c>
      <c r="I4654" s="5" t="s">
        <v>11128</v>
      </c>
      <c r="J4654" s="12" t="str">
        <f>HYPERLINK("https://www.boe.es/gazeta/dias/1804/04/10/pdfs/GMD-1804-29.pdf#page=8","Abrir facsímil")</f>
        <v>Abrir facsímil</v>
      </c>
      <c r="K4654" s="15" t="s">
        <v>22</v>
      </c>
    </row>
    <row r="4655" spans="1:11" ht="42" customHeight="1">
      <c r="A4655" s="4" t="s">
        <v>11129</v>
      </c>
      <c r="B4655" s="5" t="s">
        <v>11130</v>
      </c>
      <c r="C4655" s="5" t="s">
        <v>27</v>
      </c>
      <c r="D4655" s="5" t="s">
        <v>28</v>
      </c>
      <c r="E4655" s="5" t="s">
        <v>1020</v>
      </c>
      <c r="F4655" s="9">
        <v>103</v>
      </c>
      <c r="G4655" s="9">
        <v>1147</v>
      </c>
      <c r="H4655" s="5" t="s">
        <v>20</v>
      </c>
      <c r="I4655" s="5" t="s">
        <v>11131</v>
      </c>
      <c r="J4655" s="12" t="str">
        <f>HYPERLINK("https://www.boe.es/gazeta/dias/1804/12/25/pdfs/GMD-1804-103.pdf#page=7","Abrir facsímil")</f>
        <v>Abrir facsímil</v>
      </c>
      <c r="K4655" s="15" t="s">
        <v>22</v>
      </c>
    </row>
    <row r="4656" spans="1:11" ht="42" customHeight="1">
      <c r="A4656" s="4" t="s">
        <v>11132</v>
      </c>
      <c r="B4656" s="5" t="s">
        <v>11133</v>
      </c>
      <c r="C4656" s="5" t="s">
        <v>198</v>
      </c>
      <c r="D4656" s="5" t="s">
        <v>66</v>
      </c>
      <c r="E4656" s="5" t="s">
        <v>1095</v>
      </c>
      <c r="F4656" s="9">
        <v>73</v>
      </c>
      <c r="G4656" s="9">
        <v>819</v>
      </c>
      <c r="H4656" s="5" t="s">
        <v>20</v>
      </c>
      <c r="I4656" s="5" t="s">
        <v>11134</v>
      </c>
      <c r="J4656" s="12" t="str">
        <f>HYPERLINK("https://www.boe.es/gazeta/dias/1804/09/11/pdfs/GMD-1804-73.pdf#page=9","Abrir facsímil")</f>
        <v>Abrir facsímil</v>
      </c>
      <c r="K4656" s="15" t="s">
        <v>22</v>
      </c>
    </row>
    <row r="4657" spans="1:11" ht="42" customHeight="1">
      <c r="A4657" s="4" t="s">
        <v>11135</v>
      </c>
      <c r="B4657" s="5" t="s">
        <v>11136</v>
      </c>
      <c r="C4657" s="5" t="s">
        <v>262</v>
      </c>
      <c r="D4657" s="5" t="s">
        <v>263</v>
      </c>
      <c r="E4657" s="5" t="s">
        <v>264</v>
      </c>
      <c r="F4657" s="9">
        <v>49</v>
      </c>
      <c r="G4657" s="9" t="s">
        <v>11137</v>
      </c>
      <c r="H4657" s="5" t="s">
        <v>20</v>
      </c>
      <c r="I4657" s="5" t="s">
        <v>11138</v>
      </c>
      <c r="J4657" s="12" t="str">
        <f>HYPERLINK("https://www.boe.es/gazeta/dias/1804/06/19/pdfs/GMD-C-1804-49.pdf#page=15","Abrir facsímil")</f>
        <v>Abrir facsímil</v>
      </c>
      <c r="K4657" s="15" t="s">
        <v>22</v>
      </c>
    </row>
    <row r="4658" spans="1:11" ht="42" customHeight="1">
      <c r="A4658" s="4" t="s">
        <v>11139</v>
      </c>
      <c r="B4658" s="5" t="s">
        <v>11140</v>
      </c>
      <c r="C4658" s="5" t="s">
        <v>85</v>
      </c>
      <c r="D4658" s="5" t="s">
        <v>86</v>
      </c>
      <c r="E4658" s="5" t="s">
        <v>678</v>
      </c>
      <c r="F4658" s="9">
        <v>104</v>
      </c>
      <c r="G4658" s="9">
        <v>1163</v>
      </c>
      <c r="H4658" s="5" t="s">
        <v>20</v>
      </c>
      <c r="I4658" s="5" t="s">
        <v>11141</v>
      </c>
      <c r="J4658" s="12" t="str">
        <f>HYPERLINK("https://www.boe.es/gazeta/dias/1804/12/28/pdfs/GMD-1804-104.pdf#page=11","Abrir facsímil")</f>
        <v>Abrir facsímil</v>
      </c>
      <c r="K4658" s="15" t="s">
        <v>22</v>
      </c>
    </row>
    <row r="4659" spans="1:11" ht="42" customHeight="1">
      <c r="A4659" s="4" t="s">
        <v>11142</v>
      </c>
      <c r="B4659" s="5" t="s">
        <v>11143</v>
      </c>
      <c r="C4659" s="5" t="s">
        <v>17</v>
      </c>
      <c r="D4659" s="5" t="s">
        <v>18</v>
      </c>
      <c r="E4659" s="5" t="s">
        <v>163</v>
      </c>
      <c r="F4659" s="9">
        <v>70</v>
      </c>
      <c r="G4659" s="9">
        <v>783</v>
      </c>
      <c r="H4659" s="5" t="s">
        <v>20</v>
      </c>
      <c r="I4659" s="5" t="s">
        <v>11144</v>
      </c>
      <c r="J4659" s="12" t="str">
        <f>HYPERLINK("https://www.boe.es/gazeta/dias/1804/08/31/pdfs/GMD-1804-70.pdf#page=5","Abrir facsímil")</f>
        <v>Abrir facsímil</v>
      </c>
      <c r="K4659" s="15" t="s">
        <v>22</v>
      </c>
    </row>
    <row r="4660" spans="1:11" ht="42" customHeight="1">
      <c r="A4660" s="4" t="s">
        <v>11145</v>
      </c>
      <c r="B4660" s="5" t="s">
        <v>11146</v>
      </c>
      <c r="C4660" s="5" t="s">
        <v>27</v>
      </c>
      <c r="D4660" s="5" t="s">
        <v>28</v>
      </c>
      <c r="E4660" s="5" t="s">
        <v>212</v>
      </c>
      <c r="F4660" s="9">
        <v>89</v>
      </c>
      <c r="G4660" s="9">
        <v>990</v>
      </c>
      <c r="H4660" s="5" t="s">
        <v>20</v>
      </c>
      <c r="I4660" s="5" t="s">
        <v>11147</v>
      </c>
      <c r="J4660" s="12" t="str">
        <f>HYPERLINK("https://www.boe.es/gazeta/dias/1804/11/06/pdfs/GMD-1804-89.pdf#page=10","Abrir facsímil")</f>
        <v>Abrir facsímil</v>
      </c>
      <c r="K4660" s="15" t="s">
        <v>22</v>
      </c>
    </row>
    <row r="4661" spans="1:11" ht="42" customHeight="1">
      <c r="A4661" s="4" t="s">
        <v>11148</v>
      </c>
      <c r="B4661" s="5" t="s">
        <v>11149</v>
      </c>
      <c r="C4661" s="5" t="s">
        <v>17</v>
      </c>
      <c r="D4661" s="5" t="s">
        <v>18</v>
      </c>
      <c r="E4661" s="5" t="s">
        <v>77</v>
      </c>
      <c r="F4661" s="9">
        <v>32</v>
      </c>
      <c r="G4661" s="9">
        <v>356</v>
      </c>
      <c r="H4661" s="5" t="s">
        <v>20</v>
      </c>
      <c r="I4661" s="5" t="s">
        <v>11150</v>
      </c>
      <c r="J4661" s="12" t="str">
        <f>HYPERLINK("https://www.boe.es/gazeta/dias/1804/04/20/pdfs/GMD-1804-32.pdf#page=10","Abrir facsímil")</f>
        <v>Abrir facsímil</v>
      </c>
      <c r="K4661" s="15" t="s">
        <v>22</v>
      </c>
    </row>
    <row r="4662" spans="1:11" ht="42" customHeight="1">
      <c r="A4662" s="4" t="s">
        <v>11151</v>
      </c>
      <c r="B4662" s="5" t="s">
        <v>11152</v>
      </c>
      <c r="C4662" s="5" t="s">
        <v>65</v>
      </c>
      <c r="D4662" s="5" t="s">
        <v>66</v>
      </c>
      <c r="E4662" s="5" t="s">
        <v>302</v>
      </c>
      <c r="F4662" s="9">
        <v>3</v>
      </c>
      <c r="G4662" s="9">
        <v>27</v>
      </c>
      <c r="H4662" s="5" t="s">
        <v>20</v>
      </c>
      <c r="I4662" s="5" t="s">
        <v>11153</v>
      </c>
      <c r="J4662" s="12" t="str">
        <f>HYPERLINK("https://www.boe.es/gazeta/dias/1804/01/10/pdfs/GMD-1804-3.pdf#page=7","Abrir facsímil")</f>
        <v>Abrir facsímil</v>
      </c>
      <c r="K4662" s="15" t="s">
        <v>22</v>
      </c>
    </row>
    <row r="4663" spans="1:11" ht="42" customHeight="1">
      <c r="A4663" s="4" t="s">
        <v>11154</v>
      </c>
      <c r="B4663" s="5" t="s">
        <v>11155</v>
      </c>
      <c r="C4663" s="5" t="s">
        <v>198</v>
      </c>
      <c r="D4663" s="5" t="s">
        <v>66</v>
      </c>
      <c r="E4663" s="5" t="s">
        <v>41</v>
      </c>
      <c r="F4663" s="9">
        <v>24</v>
      </c>
      <c r="G4663" s="9">
        <v>274</v>
      </c>
      <c r="H4663" s="5" t="s">
        <v>20</v>
      </c>
      <c r="I4663" s="5" t="s">
        <v>11156</v>
      </c>
      <c r="J4663" s="12" t="str">
        <f>HYPERLINK("https://www.boe.es/gazeta/dias/1804/03/23/pdfs/GMD-1804-24.pdf#page=8","Abrir facsímil")</f>
        <v>Abrir facsímil</v>
      </c>
      <c r="K4663" s="15" t="s">
        <v>22</v>
      </c>
    </row>
    <row r="4664" spans="1:11" ht="42" customHeight="1">
      <c r="A4664" s="4" t="s">
        <v>11157</v>
      </c>
      <c r="B4664" s="5" t="s">
        <v>11158</v>
      </c>
      <c r="C4664" s="5" t="s">
        <v>27</v>
      </c>
      <c r="D4664" s="5" t="s">
        <v>28</v>
      </c>
      <c r="E4664" s="5" t="s">
        <v>97</v>
      </c>
      <c r="F4664" s="9">
        <v>50</v>
      </c>
      <c r="G4664" s="9">
        <v>552</v>
      </c>
      <c r="H4664" s="5" t="s">
        <v>20</v>
      </c>
      <c r="I4664" s="5" t="s">
        <v>11159</v>
      </c>
      <c r="J4664" s="12" t="str">
        <f>HYPERLINK("https://www.boe.es/gazeta/dias/1804/06/22/pdfs/GMD-1804-50.pdf#page=6","Abrir facsímil")</f>
        <v>Abrir facsímil</v>
      </c>
      <c r="K4664" s="15" t="s">
        <v>22</v>
      </c>
    </row>
    <row r="4665" spans="1:11" ht="42" customHeight="1">
      <c r="A4665" s="4" t="s">
        <v>11157</v>
      </c>
      <c r="B4665" s="5" t="s">
        <v>11158</v>
      </c>
      <c r="C4665" s="5" t="s">
        <v>65</v>
      </c>
      <c r="D4665" s="5" t="s">
        <v>66</v>
      </c>
      <c r="E4665" s="5" t="s">
        <v>339</v>
      </c>
      <c r="F4665" s="9">
        <v>94</v>
      </c>
      <c r="G4665" s="9">
        <v>1038</v>
      </c>
      <c r="H4665" s="5" t="s">
        <v>20</v>
      </c>
      <c r="I4665" s="5" t="s">
        <v>11160</v>
      </c>
      <c r="J4665" s="12" t="str">
        <f>HYPERLINK("https://www.boe.es/gazeta/dias/1804/11/23/pdfs/GMD-1804-94.pdf#page=6","Abrir facsímil")</f>
        <v>Abrir facsímil</v>
      </c>
      <c r="K4665" s="15" t="s">
        <v>22</v>
      </c>
    </row>
    <row r="4666" spans="1:11" ht="42" customHeight="1">
      <c r="A4666" s="4" t="s">
        <v>11161</v>
      </c>
      <c r="B4666" s="5" t="s">
        <v>11162</v>
      </c>
      <c r="C4666" s="5" t="s">
        <v>120</v>
      </c>
      <c r="D4666" s="5" t="s">
        <v>121</v>
      </c>
      <c r="E4666" s="5" t="s">
        <v>33</v>
      </c>
      <c r="F4666" s="9">
        <v>48</v>
      </c>
      <c r="G4666" s="9" t="s">
        <v>819</v>
      </c>
      <c r="H4666" s="5" t="s">
        <v>20</v>
      </c>
      <c r="I4666" s="5" t="s">
        <v>11163</v>
      </c>
      <c r="J4666" s="12" t="str">
        <f>HYPERLINK("https://www.boe.es/gazeta/dias/1804/06/15/pdfs/GMD-C-1804-48.pdf#page=4","Abrir facsímil")</f>
        <v>Abrir facsímil</v>
      </c>
      <c r="K4666" s="15" t="s">
        <v>22</v>
      </c>
    </row>
    <row r="4667" spans="1:11" ht="42" customHeight="1">
      <c r="A4667" s="4" t="s">
        <v>11164</v>
      </c>
      <c r="B4667" s="5" t="s">
        <v>11165</v>
      </c>
      <c r="C4667" s="5" t="s">
        <v>17</v>
      </c>
      <c r="D4667" s="5" t="s">
        <v>18</v>
      </c>
      <c r="E4667" s="5" t="s">
        <v>163</v>
      </c>
      <c r="F4667" s="9">
        <v>70</v>
      </c>
      <c r="G4667" s="9">
        <v>783</v>
      </c>
      <c r="H4667" s="5" t="s">
        <v>20</v>
      </c>
      <c r="I4667" s="5" t="s">
        <v>11166</v>
      </c>
      <c r="J4667" s="12" t="str">
        <f>HYPERLINK("https://www.boe.es/gazeta/dias/1804/08/31/pdfs/GMD-1804-70.pdf#page=5","Abrir facsímil")</f>
        <v>Abrir facsímil</v>
      </c>
      <c r="K4667" s="15" t="s">
        <v>22</v>
      </c>
    </row>
    <row r="4668" spans="1:11" ht="42" customHeight="1">
      <c r="A4668" s="4" t="s">
        <v>11167</v>
      </c>
      <c r="B4668" s="5" t="s">
        <v>11168</v>
      </c>
      <c r="C4668" s="5" t="s">
        <v>65</v>
      </c>
      <c r="D4668" s="5" t="s">
        <v>66</v>
      </c>
      <c r="E4668" s="5" t="s">
        <v>736</v>
      </c>
      <c r="F4668" s="9">
        <v>83</v>
      </c>
      <c r="G4668" s="9">
        <v>918</v>
      </c>
      <c r="H4668" s="5" t="s">
        <v>20</v>
      </c>
      <c r="I4668" s="5" t="s">
        <v>11169</v>
      </c>
      <c r="J4668" s="12" t="str">
        <f>HYPERLINK("https://www.boe.es/gazeta/dias/1804/10/16/pdfs/GMD-1804-83.pdf#page=8","Abrir facsímil")</f>
        <v>Abrir facsímil</v>
      </c>
      <c r="K4668" s="15" t="s">
        <v>22</v>
      </c>
    </row>
    <row r="4669" spans="1:11" ht="42" customHeight="1">
      <c r="A4669" s="4" t="s">
        <v>11170</v>
      </c>
      <c r="B4669" s="5" t="s">
        <v>11171</v>
      </c>
      <c r="C4669" s="5" t="s">
        <v>27</v>
      </c>
      <c r="D4669" s="5" t="s">
        <v>28</v>
      </c>
      <c r="E4669" s="5" t="s">
        <v>272</v>
      </c>
      <c r="F4669" s="9">
        <v>30</v>
      </c>
      <c r="G4669" s="9">
        <v>332</v>
      </c>
      <c r="H4669" s="5" t="s">
        <v>20</v>
      </c>
      <c r="I4669" s="5" t="s">
        <v>11172</v>
      </c>
      <c r="J4669" s="12" t="str">
        <f>HYPERLINK("https://www.boe.es/gazeta/dias/1804/04/13/pdfs/GMD-1804-30.pdf#page=10","Abrir facsímil")</f>
        <v>Abrir facsímil</v>
      </c>
      <c r="K4669" s="15" t="s">
        <v>22</v>
      </c>
    </row>
    <row r="4670" spans="1:11" ht="42" customHeight="1">
      <c r="A4670" s="4" t="s">
        <v>11173</v>
      </c>
      <c r="B4670" s="5" t="s">
        <v>11174</v>
      </c>
      <c r="C4670" s="5" t="s">
        <v>27</v>
      </c>
      <c r="D4670" s="5" t="s">
        <v>28</v>
      </c>
      <c r="E4670" s="5" t="s">
        <v>199</v>
      </c>
      <c r="F4670" s="9">
        <v>46</v>
      </c>
      <c r="G4670" s="9">
        <v>512</v>
      </c>
      <c r="H4670" s="5" t="s">
        <v>20</v>
      </c>
      <c r="I4670" s="5" t="s">
        <v>11175</v>
      </c>
      <c r="J4670" s="12" t="str">
        <f>HYPERLINK("https://www.boe.es/gazeta/dias/1804/06/08/pdfs/GMD-1804-46.pdf#page=10","Abrir facsímil")</f>
        <v>Abrir facsímil</v>
      </c>
      <c r="K4670" s="15" t="s">
        <v>22</v>
      </c>
    </row>
    <row r="4671" spans="1:11" ht="42" customHeight="1">
      <c r="A4671" s="4" t="s">
        <v>11176</v>
      </c>
      <c r="B4671" s="5" t="s">
        <v>11177</v>
      </c>
      <c r="C4671" s="5" t="s">
        <v>57</v>
      </c>
      <c r="D4671" s="5" t="s">
        <v>58</v>
      </c>
      <c r="E4671" s="5" t="s">
        <v>704</v>
      </c>
      <c r="F4671" s="9">
        <v>36</v>
      </c>
      <c r="G4671" s="9">
        <v>394</v>
      </c>
      <c r="H4671" s="5" t="s">
        <v>20</v>
      </c>
      <c r="I4671" s="5" t="s">
        <v>11178</v>
      </c>
      <c r="J4671" s="12" t="str">
        <f>HYPERLINK("https://www.boe.es/gazeta/dias/1804/05/04/pdfs/GMD-1804-36.pdf#page=4","Abrir facsímil")</f>
        <v>Abrir facsímil</v>
      </c>
      <c r="K4671" s="15" t="s">
        <v>22</v>
      </c>
    </row>
    <row r="4672" spans="1:11" ht="42" customHeight="1">
      <c r="A4672" s="4" t="s">
        <v>11179</v>
      </c>
      <c r="B4672" s="5" t="s">
        <v>11179</v>
      </c>
      <c r="C4672" s="5" t="s">
        <v>85</v>
      </c>
      <c r="D4672" s="5" t="s">
        <v>86</v>
      </c>
      <c r="E4672" s="5" t="s">
        <v>208</v>
      </c>
      <c r="F4672" s="9">
        <v>97</v>
      </c>
      <c r="G4672" s="9">
        <v>1083</v>
      </c>
      <c r="H4672" s="5" t="s">
        <v>20</v>
      </c>
      <c r="I4672" s="5" t="s">
        <v>11180</v>
      </c>
      <c r="J4672" s="12" t="str">
        <f>HYPERLINK("https://www.boe.es/gazeta/dias/1804/12/04/pdfs/GMD-1804-97.pdf#page=11","Abrir facsímil")</f>
        <v>Abrir facsímil</v>
      </c>
      <c r="K4672" s="15" t="s">
        <v>22</v>
      </c>
    </row>
    <row r="4673" spans="1:11" ht="42" customHeight="1">
      <c r="A4673" s="4" t="s">
        <v>11181</v>
      </c>
      <c r="B4673" s="5" t="s">
        <v>11182</v>
      </c>
      <c r="C4673" s="5" t="s">
        <v>27</v>
      </c>
      <c r="D4673" s="5" t="s">
        <v>28</v>
      </c>
      <c r="E4673" s="5" t="s">
        <v>23</v>
      </c>
      <c r="F4673" s="9">
        <v>91</v>
      </c>
      <c r="G4673" s="9">
        <v>1006</v>
      </c>
      <c r="H4673" s="5" t="s">
        <v>20</v>
      </c>
      <c r="I4673" s="5" t="s">
        <v>11183</v>
      </c>
      <c r="J4673" s="12" t="str">
        <f>HYPERLINK("https://www.boe.es/gazeta/dias/1804/11/13/pdfs/GMD-1804-91.pdf#page=6","Abrir facsímil")</f>
        <v>Abrir facsímil</v>
      </c>
      <c r="K4673" s="15" t="s">
        <v>22</v>
      </c>
    </row>
    <row r="4674" spans="1:11" ht="42" customHeight="1">
      <c r="A4674" s="4" t="s">
        <v>11184</v>
      </c>
      <c r="B4674" s="5" t="s">
        <v>11185</v>
      </c>
      <c r="C4674" s="5" t="s">
        <v>27</v>
      </c>
      <c r="D4674" s="5" t="s">
        <v>28</v>
      </c>
      <c r="E4674" s="5" t="s">
        <v>43</v>
      </c>
      <c r="F4674" s="9">
        <v>84</v>
      </c>
      <c r="G4674" s="9">
        <v>923</v>
      </c>
      <c r="H4674" s="5" t="s">
        <v>20</v>
      </c>
      <c r="I4674" s="5" t="s">
        <v>11186</v>
      </c>
      <c r="J4674" s="12" t="str">
        <f>HYPERLINK("https://www.boe.es/gazeta/dias/1804/10/19/pdfs/GMD-1804-84.pdf#page=1","Abrir facsímil")</f>
        <v>Abrir facsímil</v>
      </c>
      <c r="K4674" s="15" t="s">
        <v>22</v>
      </c>
    </row>
    <row r="4675" spans="1:11" ht="42" customHeight="1">
      <c r="A4675" s="4" t="s">
        <v>11187</v>
      </c>
      <c r="B4675" s="5" t="s">
        <v>11188</v>
      </c>
      <c r="C4675" s="5" t="s">
        <v>198</v>
      </c>
      <c r="D4675" s="5" t="s">
        <v>66</v>
      </c>
      <c r="E4675" s="5" t="s">
        <v>526</v>
      </c>
      <c r="F4675" s="9">
        <v>95</v>
      </c>
      <c r="G4675" s="9">
        <v>1050</v>
      </c>
      <c r="H4675" s="5" t="s">
        <v>20</v>
      </c>
      <c r="I4675" s="5" t="s">
        <v>11189</v>
      </c>
      <c r="J4675" s="12" t="str">
        <f>HYPERLINK("https://www.boe.es/gazeta/dias/1804/11/27/pdfs/GMD-1804-95.pdf#page=2","Abrir facsímil")</f>
        <v>Abrir facsímil</v>
      </c>
      <c r="K4675" s="15" t="s">
        <v>22</v>
      </c>
    </row>
    <row r="4676" spans="1:11" ht="42" customHeight="1">
      <c r="A4676" s="4" t="s">
        <v>11190</v>
      </c>
      <c r="B4676" s="5" t="s">
        <v>11191</v>
      </c>
      <c r="C4676" s="5" t="s">
        <v>17</v>
      </c>
      <c r="D4676" s="5" t="s">
        <v>18</v>
      </c>
      <c r="E4676" s="5" t="s">
        <v>47</v>
      </c>
      <c r="F4676" s="9">
        <v>78</v>
      </c>
      <c r="G4676" s="9">
        <v>869</v>
      </c>
      <c r="H4676" s="5" t="s">
        <v>20</v>
      </c>
      <c r="I4676" s="5" t="s">
        <v>11192</v>
      </c>
      <c r="J4676" s="12" t="str">
        <f>HYPERLINK("https://www.boe.es/gazeta/dias/1804/09/28/pdfs/GMD-1804-78.pdf#page=7","Abrir facsímil")</f>
        <v>Abrir facsímil</v>
      </c>
      <c r="K4676" s="15" t="s">
        <v>22</v>
      </c>
    </row>
    <row r="4677" spans="1:11" ht="42" customHeight="1">
      <c r="A4677" s="4" t="s">
        <v>11193</v>
      </c>
      <c r="B4677" s="5" t="s">
        <v>11194</v>
      </c>
      <c r="C4677" s="5" t="s">
        <v>85</v>
      </c>
      <c r="D4677" s="5" t="s">
        <v>86</v>
      </c>
      <c r="E4677" s="5" t="s">
        <v>378</v>
      </c>
      <c r="F4677" s="9">
        <v>65</v>
      </c>
      <c r="G4677" s="9">
        <v>733</v>
      </c>
      <c r="H4677" s="5" t="s">
        <v>20</v>
      </c>
      <c r="I4677" s="5" t="s">
        <v>11195</v>
      </c>
      <c r="J4677" s="12" t="str">
        <f>HYPERLINK("https://www.boe.es/gazeta/dias/1804/08/14/pdfs/GMD-1804-65.pdf#page=11","Abrir facsímil")</f>
        <v>Abrir facsímil</v>
      </c>
      <c r="K4677" s="15" t="s">
        <v>22</v>
      </c>
    </row>
    <row r="4678" spans="1:11" ht="42" customHeight="1">
      <c r="A4678" s="4" t="s">
        <v>11196</v>
      </c>
      <c r="B4678" s="5" t="s">
        <v>11197</v>
      </c>
      <c r="C4678" s="5" t="s">
        <v>85</v>
      </c>
      <c r="D4678" s="5" t="s">
        <v>86</v>
      </c>
      <c r="E4678" s="5" t="s">
        <v>367</v>
      </c>
      <c r="F4678" s="9">
        <v>64</v>
      </c>
      <c r="G4678" s="9">
        <v>715</v>
      </c>
      <c r="H4678" s="5" t="s">
        <v>20</v>
      </c>
      <c r="I4678" s="5" t="s">
        <v>11198</v>
      </c>
      <c r="J4678" s="12" t="str">
        <f>HYPERLINK("https://www.boe.es/gazeta/dias/1804/08/10/pdfs/GMD-1804-64.pdf#page=9","Abrir facsímil")</f>
        <v>Abrir facsímil</v>
      </c>
      <c r="K4678" s="15" t="s">
        <v>22</v>
      </c>
    </row>
    <row r="4679" spans="1:11" ht="42" customHeight="1">
      <c r="A4679" s="4" t="s">
        <v>11199</v>
      </c>
      <c r="B4679" s="5" t="s">
        <v>11200</v>
      </c>
      <c r="C4679" s="5" t="s">
        <v>17</v>
      </c>
      <c r="D4679" s="5" t="s">
        <v>18</v>
      </c>
      <c r="E4679" s="5" t="s">
        <v>71</v>
      </c>
      <c r="F4679" s="9">
        <v>99</v>
      </c>
      <c r="G4679" s="9">
        <v>1107</v>
      </c>
      <c r="H4679" s="5" t="s">
        <v>20</v>
      </c>
      <c r="I4679" s="5" t="s">
        <v>11201</v>
      </c>
      <c r="J4679" s="12" t="str">
        <f>HYPERLINK("https://www.boe.es/gazeta/dias/1804/12/11/pdfs/GMD-1804-99.pdf#page=7","Abrir facsímil")</f>
        <v>Abrir facsímil</v>
      </c>
      <c r="K4679" s="15" t="s">
        <v>22</v>
      </c>
    </row>
    <row r="4680" spans="1:11" ht="42" customHeight="1">
      <c r="A4680" s="4" t="s">
        <v>11202</v>
      </c>
      <c r="B4680" s="5" t="s">
        <v>11203</v>
      </c>
      <c r="C4680" s="5" t="s">
        <v>17</v>
      </c>
      <c r="D4680" s="5" t="s">
        <v>18</v>
      </c>
      <c r="E4680" s="5" t="s">
        <v>71</v>
      </c>
      <c r="F4680" s="9">
        <v>99</v>
      </c>
      <c r="G4680" s="9">
        <v>1107</v>
      </c>
      <c r="H4680" s="5" t="s">
        <v>20</v>
      </c>
      <c r="I4680" s="5" t="s">
        <v>11204</v>
      </c>
      <c r="J4680" s="12" t="str">
        <f>HYPERLINK("https://www.boe.es/gazeta/dias/1804/12/11/pdfs/GMD-1804-99.pdf#page=7","Abrir facsímil")</f>
        <v>Abrir facsímil</v>
      </c>
      <c r="K4680" s="15" t="s">
        <v>22</v>
      </c>
    </row>
    <row r="4681" spans="1:11" ht="42" customHeight="1">
      <c r="A4681" s="4" t="s">
        <v>11205</v>
      </c>
      <c r="B4681" s="5" t="s">
        <v>11206</v>
      </c>
      <c r="C4681" s="5" t="s">
        <v>27</v>
      </c>
      <c r="D4681" s="5" t="s">
        <v>28</v>
      </c>
      <c r="E4681" s="5" t="s">
        <v>199</v>
      </c>
      <c r="F4681" s="9">
        <v>46</v>
      </c>
      <c r="G4681" s="9">
        <v>512</v>
      </c>
      <c r="H4681" s="5" t="s">
        <v>20</v>
      </c>
      <c r="I4681" s="5" t="s">
        <v>11207</v>
      </c>
      <c r="J4681" s="12" t="str">
        <f>HYPERLINK("https://www.boe.es/gazeta/dias/1804/06/08/pdfs/GMD-1804-46.pdf#page=10","Abrir facsímil")</f>
        <v>Abrir facsímil</v>
      </c>
      <c r="K4681" s="15" t="s">
        <v>22</v>
      </c>
    </row>
    <row r="4682" spans="1:11" ht="42" customHeight="1">
      <c r="A4682" s="4" t="s">
        <v>11208</v>
      </c>
      <c r="B4682" s="5" t="s">
        <v>11208</v>
      </c>
      <c r="C4682" s="5" t="s">
        <v>17</v>
      </c>
      <c r="D4682" s="5" t="s">
        <v>18</v>
      </c>
      <c r="E4682" s="5" t="s">
        <v>427</v>
      </c>
      <c r="F4682" s="9">
        <v>80</v>
      </c>
      <c r="G4682" s="9">
        <v>888</v>
      </c>
      <c r="H4682" s="5" t="s">
        <v>20</v>
      </c>
      <c r="I4682" s="5" t="s">
        <v>11209</v>
      </c>
      <c r="J4682" s="12" t="str">
        <f>HYPERLINK("https://www.boe.es/gazeta/dias/1804/10/05/pdfs/GMD-1804-80.pdf#page=6","Abrir facsímil")</f>
        <v>Abrir facsímil</v>
      </c>
      <c r="K4682" s="15" t="s">
        <v>22</v>
      </c>
    </row>
    <row r="4683" spans="1:11" ht="42" customHeight="1">
      <c r="A4683" s="4" t="s">
        <v>11210</v>
      </c>
      <c r="B4683" s="5" t="s">
        <v>11210</v>
      </c>
      <c r="C4683" s="5" t="s">
        <v>57</v>
      </c>
      <c r="D4683" s="5" t="s">
        <v>58</v>
      </c>
      <c r="E4683" s="5" t="s">
        <v>226</v>
      </c>
      <c r="F4683" s="9">
        <v>17</v>
      </c>
      <c r="G4683" s="9">
        <v>182</v>
      </c>
      <c r="H4683" s="5" t="s">
        <v>20</v>
      </c>
      <c r="I4683" s="5" t="s">
        <v>11211</v>
      </c>
      <c r="J4683" s="12" t="str">
        <f>HYPERLINK("https://www.boe.es/gazeta/dias/1804/02/28/pdfs/GMD-1804-17.pdf#page=2","Abrir facsímil")</f>
        <v>Abrir facsímil</v>
      </c>
      <c r="K4683" s="15" t="s">
        <v>22</v>
      </c>
    </row>
    <row r="4684" spans="1:11" ht="42" customHeight="1">
      <c r="A4684" s="4" t="s">
        <v>11212</v>
      </c>
      <c r="B4684" s="5" t="s">
        <v>11213</v>
      </c>
      <c r="C4684" s="5" t="s">
        <v>65</v>
      </c>
      <c r="D4684" s="5" t="s">
        <v>66</v>
      </c>
      <c r="E4684" s="5" t="s">
        <v>132</v>
      </c>
      <c r="F4684" s="9">
        <v>52</v>
      </c>
      <c r="G4684" s="9">
        <v>574</v>
      </c>
      <c r="H4684" s="5" t="s">
        <v>20</v>
      </c>
      <c r="I4684" s="5" t="s">
        <v>11214</v>
      </c>
      <c r="J4684" s="12" t="str">
        <f>HYPERLINK("https://www.boe.es/gazeta/dias/1804/06/29/pdfs/GMD-1804-52.pdf#page=8","Abrir facsímil")</f>
        <v>Abrir facsímil</v>
      </c>
      <c r="K4684" s="15" t="s">
        <v>22</v>
      </c>
    </row>
    <row r="4685" spans="1:11" ht="42" customHeight="1">
      <c r="A4685" s="4" t="s">
        <v>11212</v>
      </c>
      <c r="B4685" s="5" t="s">
        <v>11213</v>
      </c>
      <c r="C4685" s="5" t="s">
        <v>27</v>
      </c>
      <c r="D4685" s="5" t="s">
        <v>28</v>
      </c>
      <c r="E4685" s="5" t="s">
        <v>515</v>
      </c>
      <c r="F4685" s="9">
        <v>102</v>
      </c>
      <c r="G4685" s="9">
        <v>1139</v>
      </c>
      <c r="H4685" s="5" t="s">
        <v>20</v>
      </c>
      <c r="I4685" s="5" t="s">
        <v>11215</v>
      </c>
      <c r="J4685" s="12" t="str">
        <f>HYPERLINK("https://www.boe.es/gazeta/dias/1804/12/21/pdfs/GMD-1804-102.pdf#page=7","Abrir facsímil")</f>
        <v>Abrir facsímil</v>
      </c>
      <c r="K4685" s="15" t="s">
        <v>22</v>
      </c>
    </row>
    <row r="4686" spans="1:11" ht="42" customHeight="1">
      <c r="A4686" s="4" t="s">
        <v>11216</v>
      </c>
      <c r="B4686" s="5" t="s">
        <v>11217</v>
      </c>
      <c r="C4686" s="5" t="s">
        <v>65</v>
      </c>
      <c r="D4686" s="5" t="s">
        <v>66</v>
      </c>
      <c r="E4686" s="5" t="s">
        <v>490</v>
      </c>
      <c r="F4686" s="9">
        <v>100</v>
      </c>
      <c r="G4686" s="9">
        <v>1118</v>
      </c>
      <c r="H4686" s="5" t="s">
        <v>20</v>
      </c>
      <c r="I4686" s="5" t="s">
        <v>11218</v>
      </c>
      <c r="J4686" s="12" t="str">
        <f>HYPERLINK("https://www.boe.es/gazeta/dias/1804/12/14/pdfs/GMD-1804-100.pdf#page=10","Abrir facsímil")</f>
        <v>Abrir facsímil</v>
      </c>
      <c r="K4686" s="15" t="s">
        <v>22</v>
      </c>
    </row>
    <row r="4687" spans="1:11" ht="42" customHeight="1">
      <c r="A4687" s="4" t="s">
        <v>11219</v>
      </c>
      <c r="B4687" s="5" t="s">
        <v>11220</v>
      </c>
      <c r="C4687" s="5" t="s">
        <v>27</v>
      </c>
      <c r="D4687" s="5" t="s">
        <v>28</v>
      </c>
      <c r="E4687" s="5" t="s">
        <v>23</v>
      </c>
      <c r="F4687" s="9">
        <v>91</v>
      </c>
      <c r="G4687" s="9">
        <v>1009</v>
      </c>
      <c r="H4687" s="5" t="s">
        <v>20</v>
      </c>
      <c r="I4687" s="5" t="s">
        <v>11221</v>
      </c>
      <c r="J4687" s="12" t="str">
        <f>HYPERLINK("https://www.boe.es/gazeta/dias/1804/11/13/pdfs/GMD-1804-91.pdf#page=9","Abrir facsímil")</f>
        <v>Abrir facsímil</v>
      </c>
      <c r="K4687" s="15" t="s">
        <v>22</v>
      </c>
    </row>
    <row r="4688" spans="1:11" ht="42" customHeight="1">
      <c r="A4688" s="4" t="s">
        <v>11222</v>
      </c>
      <c r="B4688" s="5" t="s">
        <v>11223</v>
      </c>
      <c r="C4688" s="5" t="s">
        <v>17</v>
      </c>
      <c r="D4688" s="5" t="s">
        <v>18</v>
      </c>
      <c r="E4688" s="5" t="s">
        <v>398</v>
      </c>
      <c r="F4688" s="9">
        <v>22</v>
      </c>
      <c r="G4688" s="9">
        <v>247</v>
      </c>
      <c r="H4688" s="5" t="s">
        <v>20</v>
      </c>
      <c r="I4688" s="5" t="s">
        <v>11224</v>
      </c>
      <c r="J4688" s="12" t="str">
        <f>HYPERLINK("https://www.boe.es/gazeta/dias/1804/03/16/pdfs/GMD-1804-22.pdf#page=11","Abrir facsímil")</f>
        <v>Abrir facsímil</v>
      </c>
      <c r="K4688" s="15" t="s">
        <v>22</v>
      </c>
    </row>
    <row r="4689" spans="1:11" ht="42" customHeight="1">
      <c r="A4689" s="4" t="s">
        <v>11225</v>
      </c>
      <c r="B4689" s="5" t="s">
        <v>11226</v>
      </c>
      <c r="C4689" s="5" t="s">
        <v>27</v>
      </c>
      <c r="D4689" s="5" t="s">
        <v>28</v>
      </c>
      <c r="E4689" s="5" t="s">
        <v>320</v>
      </c>
      <c r="F4689" s="9">
        <v>31</v>
      </c>
      <c r="G4689" s="9">
        <v>343</v>
      </c>
      <c r="H4689" s="5" t="s">
        <v>20</v>
      </c>
      <c r="I4689" s="5" t="s">
        <v>11227</v>
      </c>
      <c r="J4689" s="12" t="str">
        <f>HYPERLINK("https://www.boe.es/gazeta/dias/1804/04/17/pdfs/GMD-1804-31.pdf#page=9","Abrir facsímil")</f>
        <v>Abrir facsímil</v>
      </c>
      <c r="K4689" s="15" t="s">
        <v>22</v>
      </c>
    </row>
    <row r="4690" spans="1:11" ht="42" customHeight="1">
      <c r="A4690" s="4" t="s">
        <v>11228</v>
      </c>
      <c r="B4690" s="5" t="s">
        <v>11229</v>
      </c>
      <c r="C4690" s="5" t="s">
        <v>198</v>
      </c>
      <c r="D4690" s="5" t="s">
        <v>66</v>
      </c>
      <c r="E4690" s="5" t="s">
        <v>1278</v>
      </c>
      <c r="F4690" s="9">
        <v>37</v>
      </c>
      <c r="G4690" s="9">
        <v>413</v>
      </c>
      <c r="H4690" s="5" t="s">
        <v>20</v>
      </c>
      <c r="I4690" s="5" t="s">
        <v>11230</v>
      </c>
      <c r="J4690" s="12" t="str">
        <f>HYPERLINK("https://www.boe.es/gazeta/dias/1804/05/08/pdfs/GMD-1804-37.pdf#page=11","Abrir facsímil")</f>
        <v>Abrir facsímil</v>
      </c>
      <c r="K4690" s="15" t="s">
        <v>22</v>
      </c>
    </row>
    <row r="4691" spans="1:11" ht="42" customHeight="1">
      <c r="A4691" s="4" t="s">
        <v>11231</v>
      </c>
      <c r="B4691" s="5" t="s">
        <v>11232</v>
      </c>
      <c r="C4691" s="5" t="s">
        <v>198</v>
      </c>
      <c r="D4691" s="5" t="s">
        <v>66</v>
      </c>
      <c r="E4691" s="5" t="s">
        <v>421</v>
      </c>
      <c r="F4691" s="9">
        <v>47</v>
      </c>
      <c r="G4691" s="9">
        <v>528</v>
      </c>
      <c r="H4691" s="5" t="s">
        <v>20</v>
      </c>
      <c r="I4691" s="5" t="s">
        <v>11233</v>
      </c>
      <c r="J4691" s="12" t="str">
        <f>HYPERLINK("https://www.boe.es/gazeta/dias/1804/06/12/pdfs/GMD-1804-47.pdf#page=10","Abrir facsímil")</f>
        <v>Abrir facsímil</v>
      </c>
      <c r="K4691" s="15" t="s">
        <v>22</v>
      </c>
    </row>
    <row r="4692" spans="1:11" ht="42" customHeight="1">
      <c r="A4692" s="4" t="s">
        <v>11234</v>
      </c>
      <c r="B4692" s="5" t="s">
        <v>11235</v>
      </c>
      <c r="C4692" s="5" t="s">
        <v>27</v>
      </c>
      <c r="D4692" s="5" t="s">
        <v>28</v>
      </c>
      <c r="E4692" s="5" t="s">
        <v>81</v>
      </c>
      <c r="F4692" s="9">
        <v>98</v>
      </c>
      <c r="G4692" s="9">
        <v>1089</v>
      </c>
      <c r="H4692" s="5" t="s">
        <v>20</v>
      </c>
      <c r="I4692" s="5" t="s">
        <v>11236</v>
      </c>
      <c r="J4692" s="12" t="str">
        <f>HYPERLINK("https://www.boe.es/gazeta/dias/1804/12/07/pdfs/GMD-1804-98.pdf#page=5","Abrir facsímil")</f>
        <v>Abrir facsímil</v>
      </c>
      <c r="K4692" s="15" t="s">
        <v>22</v>
      </c>
    </row>
    <row r="4693" spans="1:11" ht="42" customHeight="1">
      <c r="A4693" s="4" t="s">
        <v>11237</v>
      </c>
      <c r="B4693" s="5" t="s">
        <v>11238</v>
      </c>
      <c r="C4693" s="5" t="s">
        <v>85</v>
      </c>
      <c r="D4693" s="5" t="s">
        <v>86</v>
      </c>
      <c r="E4693" s="5" t="s">
        <v>427</v>
      </c>
      <c r="F4693" s="9">
        <v>80</v>
      </c>
      <c r="G4693" s="9">
        <v>890</v>
      </c>
      <c r="H4693" s="5" t="s">
        <v>20</v>
      </c>
      <c r="I4693" s="5" t="s">
        <v>11239</v>
      </c>
      <c r="J4693" s="12" t="str">
        <f>HYPERLINK("https://www.boe.es/gazeta/dias/1804/10/05/pdfs/GMD-1804-80.pdf#page=8","Abrir facsímil")</f>
        <v>Abrir facsímil</v>
      </c>
      <c r="K4693" s="15" t="s">
        <v>22</v>
      </c>
    </row>
    <row r="4694" spans="1:11" ht="42" customHeight="1">
      <c r="A4694" s="4" t="s">
        <v>11240</v>
      </c>
      <c r="B4694" s="5" t="s">
        <v>11241</v>
      </c>
      <c r="C4694" s="5" t="s">
        <v>57</v>
      </c>
      <c r="D4694" s="5" t="s">
        <v>58</v>
      </c>
      <c r="E4694" s="5" t="s">
        <v>360</v>
      </c>
      <c r="F4694" s="9">
        <v>81</v>
      </c>
      <c r="G4694" s="9">
        <v>894</v>
      </c>
      <c r="H4694" s="5" t="s">
        <v>20</v>
      </c>
      <c r="I4694" s="5" t="s">
        <v>11242</v>
      </c>
      <c r="J4694" s="12" t="str">
        <f>HYPERLINK("https://www.boe.es/gazeta/dias/1804/10/09/pdfs/GMD-1804-81.pdf#page=4","Abrir facsímil")</f>
        <v>Abrir facsímil</v>
      </c>
      <c r="K4694" s="15" t="s">
        <v>22</v>
      </c>
    </row>
    <row r="4695" spans="1:11" ht="42" customHeight="1">
      <c r="A4695" s="4" t="s">
        <v>11243</v>
      </c>
      <c r="B4695" s="5" t="s">
        <v>11244</v>
      </c>
      <c r="C4695" s="5" t="s">
        <v>27</v>
      </c>
      <c r="D4695" s="5" t="s">
        <v>28</v>
      </c>
      <c r="E4695" s="5" t="s">
        <v>97</v>
      </c>
      <c r="F4695" s="9">
        <v>50</v>
      </c>
      <c r="G4695" s="9">
        <v>552</v>
      </c>
      <c r="H4695" s="5" t="s">
        <v>20</v>
      </c>
      <c r="I4695" s="5" t="s">
        <v>11245</v>
      </c>
      <c r="J4695" s="12" t="str">
        <f>HYPERLINK("https://www.boe.es/gazeta/dias/1804/06/22/pdfs/GMD-1804-50.pdf#page=6","Abrir facsímil")</f>
        <v>Abrir facsímil</v>
      </c>
      <c r="K4695" s="15" t="s">
        <v>22</v>
      </c>
    </row>
    <row r="4696" spans="1:11" ht="42" customHeight="1">
      <c r="A4696" s="4" t="s">
        <v>11246</v>
      </c>
      <c r="B4696" s="5" t="s">
        <v>11247</v>
      </c>
      <c r="C4696" s="5" t="s">
        <v>65</v>
      </c>
      <c r="D4696" s="5" t="s">
        <v>66</v>
      </c>
      <c r="E4696" s="5" t="s">
        <v>637</v>
      </c>
      <c r="F4696" s="9">
        <v>74</v>
      </c>
      <c r="G4696" s="9">
        <v>833</v>
      </c>
      <c r="H4696" s="5" t="s">
        <v>20</v>
      </c>
      <c r="I4696" s="5" t="s">
        <v>11248</v>
      </c>
      <c r="J4696" s="12" t="str">
        <f>HYPERLINK("https://www.boe.es/gazeta/dias/1804/09/14/pdfs/GMD-1804-74.pdf#page=11","Abrir facsímil")</f>
        <v>Abrir facsímil</v>
      </c>
      <c r="K4696" s="15" t="s">
        <v>22</v>
      </c>
    </row>
    <row r="4697" spans="1:11" ht="42" customHeight="1">
      <c r="A4697" s="4" t="s">
        <v>11249</v>
      </c>
      <c r="B4697" s="5" t="s">
        <v>11250</v>
      </c>
      <c r="C4697" s="5" t="s">
        <v>65</v>
      </c>
      <c r="D4697" s="5" t="s">
        <v>66</v>
      </c>
      <c r="E4697" s="5" t="s">
        <v>453</v>
      </c>
      <c r="F4697" s="9">
        <v>33</v>
      </c>
      <c r="G4697" s="9">
        <v>366</v>
      </c>
      <c r="H4697" s="5" t="s">
        <v>20</v>
      </c>
      <c r="I4697" s="5" t="s">
        <v>11251</v>
      </c>
      <c r="J4697" s="12" t="str">
        <f>HYPERLINK("https://www.boe.es/gazeta/dias/1804/04/24/pdfs/GMD-1804-33.pdf#page=8","Abrir facsímil")</f>
        <v>Abrir facsímil</v>
      </c>
      <c r="K4697" s="15" t="s">
        <v>22</v>
      </c>
    </row>
    <row r="4698" spans="1:11" ht="42" customHeight="1">
      <c r="A4698" s="4" t="s">
        <v>11252</v>
      </c>
      <c r="B4698" s="5" t="s">
        <v>11253</v>
      </c>
      <c r="C4698" s="5" t="s">
        <v>27</v>
      </c>
      <c r="D4698" s="5" t="s">
        <v>28</v>
      </c>
      <c r="E4698" s="5" t="s">
        <v>490</v>
      </c>
      <c r="F4698" s="9">
        <v>100</v>
      </c>
      <c r="G4698" s="9">
        <v>1119</v>
      </c>
      <c r="H4698" s="5" t="s">
        <v>20</v>
      </c>
      <c r="I4698" s="5" t="s">
        <v>11254</v>
      </c>
      <c r="J4698" s="12" t="str">
        <f>HYPERLINK("https://www.boe.es/gazeta/dias/1804/12/14/pdfs/GMD-1804-100.pdf#page=11","Abrir facsímil")</f>
        <v>Abrir facsímil</v>
      </c>
      <c r="K4698" s="15" t="s">
        <v>22</v>
      </c>
    </row>
    <row r="4699" spans="1:11" ht="42" customHeight="1">
      <c r="A4699" s="4" t="s">
        <v>11255</v>
      </c>
      <c r="B4699" s="5" t="s">
        <v>11256</v>
      </c>
      <c r="C4699" s="5" t="s">
        <v>120</v>
      </c>
      <c r="D4699" s="5" t="s">
        <v>121</v>
      </c>
      <c r="E4699" s="5" t="s">
        <v>33</v>
      </c>
      <c r="F4699" s="9">
        <v>48</v>
      </c>
      <c r="G4699" s="9" t="s">
        <v>819</v>
      </c>
      <c r="H4699" s="5" t="s">
        <v>20</v>
      </c>
      <c r="I4699" s="5" t="s">
        <v>11257</v>
      </c>
      <c r="J4699" s="12" t="str">
        <f>HYPERLINK("https://www.boe.es/gazeta/dias/1804/06/15/pdfs/GMD-C-1804-48.pdf#page=4","Abrir facsímil")</f>
        <v>Abrir facsímil</v>
      </c>
      <c r="K4699" s="15" t="s">
        <v>22</v>
      </c>
    </row>
    <row r="4700" spans="1:11" ht="42" customHeight="1">
      <c r="A4700" s="4" t="s">
        <v>11258</v>
      </c>
      <c r="B4700" s="5" t="s">
        <v>11259</v>
      </c>
      <c r="C4700" s="5" t="s">
        <v>27</v>
      </c>
      <c r="D4700" s="5" t="s">
        <v>28</v>
      </c>
      <c r="E4700" s="5" t="s">
        <v>704</v>
      </c>
      <c r="F4700" s="9">
        <v>36</v>
      </c>
      <c r="G4700" s="9">
        <v>399</v>
      </c>
      <c r="H4700" s="5" t="s">
        <v>20</v>
      </c>
      <c r="I4700" s="5" t="s">
        <v>11260</v>
      </c>
      <c r="J4700" s="12" t="str">
        <f>HYPERLINK("https://www.boe.es/gazeta/dias/1804/05/04/pdfs/GMD-1804-36.pdf#page=9","Abrir facsímil")</f>
        <v>Abrir facsímil</v>
      </c>
      <c r="K4700" s="15" t="s">
        <v>22</v>
      </c>
    </row>
    <row r="4701" spans="1:11" ht="42" customHeight="1">
      <c r="A4701" s="4" t="s">
        <v>11261</v>
      </c>
      <c r="B4701" s="5" t="s">
        <v>11262</v>
      </c>
      <c r="C4701" s="5" t="s">
        <v>17</v>
      </c>
      <c r="D4701" s="5" t="s">
        <v>18</v>
      </c>
      <c r="E4701" s="5" t="s">
        <v>378</v>
      </c>
      <c r="F4701" s="9">
        <v>65</v>
      </c>
      <c r="G4701" s="9">
        <v>731</v>
      </c>
      <c r="H4701" s="5" t="s">
        <v>20</v>
      </c>
      <c r="I4701" s="5" t="s">
        <v>11263</v>
      </c>
      <c r="J4701" s="12" t="str">
        <f>HYPERLINK("https://www.boe.es/gazeta/dias/1804/08/14/pdfs/GMD-1804-65.pdf#page=9","Abrir facsímil")</f>
        <v>Abrir facsímil</v>
      </c>
      <c r="K4701" s="15" t="s">
        <v>22</v>
      </c>
    </row>
    <row r="4702" spans="1:11" ht="42" customHeight="1">
      <c r="A4702" s="4" t="s">
        <v>11264</v>
      </c>
      <c r="B4702" s="5" t="s">
        <v>11265</v>
      </c>
      <c r="C4702" s="5" t="s">
        <v>27</v>
      </c>
      <c r="D4702" s="5" t="s">
        <v>28</v>
      </c>
      <c r="E4702" s="5" t="s">
        <v>37</v>
      </c>
      <c r="F4702" s="9">
        <v>29</v>
      </c>
      <c r="G4702" s="9">
        <v>319</v>
      </c>
      <c r="H4702" s="5" t="s">
        <v>20</v>
      </c>
      <c r="I4702" s="5" t="s">
        <v>11266</v>
      </c>
      <c r="J4702" s="12" t="str">
        <f>HYPERLINK("https://www.boe.es/gazeta/dias/1804/04/10/pdfs/GMD-1804-29.pdf#page=9","Abrir facsímil")</f>
        <v>Abrir facsímil</v>
      </c>
      <c r="K4702" s="15" t="s">
        <v>22</v>
      </c>
    </row>
    <row r="4703" spans="1:11" ht="42" customHeight="1">
      <c r="A4703" s="4" t="s">
        <v>11267</v>
      </c>
      <c r="B4703" s="5" t="s">
        <v>11268</v>
      </c>
      <c r="C4703" s="5" t="s">
        <v>27</v>
      </c>
      <c r="D4703" s="5" t="s">
        <v>28</v>
      </c>
      <c r="E4703" s="5" t="s">
        <v>794</v>
      </c>
      <c r="F4703" s="9">
        <v>42</v>
      </c>
      <c r="G4703" s="9">
        <v>473</v>
      </c>
      <c r="H4703" s="5" t="s">
        <v>20</v>
      </c>
      <c r="I4703" s="5" t="s">
        <v>11269</v>
      </c>
      <c r="J4703" s="12" t="str">
        <f>HYPERLINK("https://www.boe.es/gazeta/dias/1804/05/25/pdfs/GMD-1804-42.pdf#page=11","Abrir facsímil")</f>
        <v>Abrir facsímil</v>
      </c>
      <c r="K4703" s="15" t="s">
        <v>22</v>
      </c>
    </row>
    <row r="4704" spans="1:11" ht="42" customHeight="1">
      <c r="A4704" s="4" t="s">
        <v>11270</v>
      </c>
      <c r="B4704" s="5" t="s">
        <v>11271</v>
      </c>
      <c r="C4704" s="5" t="s">
        <v>17</v>
      </c>
      <c r="D4704" s="5" t="s">
        <v>18</v>
      </c>
      <c r="E4704" s="5" t="s">
        <v>67</v>
      </c>
      <c r="F4704" s="9">
        <v>59</v>
      </c>
      <c r="G4704" s="9">
        <v>652</v>
      </c>
      <c r="H4704" s="5" t="s">
        <v>20</v>
      </c>
      <c r="I4704" s="5" t="s">
        <v>11272</v>
      </c>
      <c r="J4704" s="12" t="str">
        <f>HYPERLINK("https://www.boe.es/gazeta/dias/1804/07/24/pdfs/GMD-1804-59.pdf#page=6","Abrir facsímil")</f>
        <v>Abrir facsímil</v>
      </c>
      <c r="K4704" s="15" t="s">
        <v>22</v>
      </c>
    </row>
    <row r="4705" spans="1:11" ht="42" customHeight="1">
      <c r="A4705" s="4" t="s">
        <v>11273</v>
      </c>
      <c r="B4705" s="5" t="s">
        <v>11274</v>
      </c>
      <c r="C4705" s="5" t="s">
        <v>120</v>
      </c>
      <c r="D4705" s="5" t="s">
        <v>121</v>
      </c>
      <c r="E4705" s="5" t="s">
        <v>33</v>
      </c>
      <c r="F4705" s="9">
        <v>48</v>
      </c>
      <c r="G4705" s="9" t="s">
        <v>122</v>
      </c>
      <c r="H4705" s="5" t="s">
        <v>20</v>
      </c>
      <c r="I4705" s="5" t="s">
        <v>11275</v>
      </c>
      <c r="J4705" s="12" t="str">
        <f>HYPERLINK("https://www.boe.es/gazeta/dias/1804/06/15/pdfs/GMD-C-1804-48.pdf#page=3","Abrir facsímil")</f>
        <v>Abrir facsímil</v>
      </c>
      <c r="K4705" s="15" t="s">
        <v>22</v>
      </c>
    </row>
    <row r="4706" spans="1:11" ht="42" customHeight="1">
      <c r="A4706" s="4" t="s">
        <v>11276</v>
      </c>
      <c r="B4706" s="5" t="s">
        <v>11277</v>
      </c>
      <c r="C4706" s="5" t="s">
        <v>27</v>
      </c>
      <c r="D4706" s="5" t="s">
        <v>28</v>
      </c>
      <c r="E4706" s="5" t="s">
        <v>736</v>
      </c>
      <c r="F4706" s="9">
        <v>83</v>
      </c>
      <c r="G4706" s="9">
        <v>919</v>
      </c>
      <c r="H4706" s="5" t="s">
        <v>20</v>
      </c>
      <c r="I4706" s="5" t="s">
        <v>11278</v>
      </c>
      <c r="J4706" s="12" t="str">
        <f>HYPERLINK("https://www.boe.es/gazeta/dias/1804/10/16/pdfs/GMD-1804-83.pdf#page=9","Abrir facsímil")</f>
        <v>Abrir facsímil</v>
      </c>
      <c r="K4706" s="15" t="s">
        <v>22</v>
      </c>
    </row>
    <row r="4707" spans="1:11" ht="42" customHeight="1">
      <c r="A4707" s="4" t="s">
        <v>11279</v>
      </c>
      <c r="B4707" s="5" t="s">
        <v>11280</v>
      </c>
      <c r="C4707" s="5" t="s">
        <v>17</v>
      </c>
      <c r="D4707" s="5" t="s">
        <v>18</v>
      </c>
      <c r="E4707" s="5" t="s">
        <v>484</v>
      </c>
      <c r="F4707" s="9">
        <v>53</v>
      </c>
      <c r="G4707" s="9">
        <v>591</v>
      </c>
      <c r="H4707" s="5" t="s">
        <v>20</v>
      </c>
      <c r="I4707" s="5" t="s">
        <v>11281</v>
      </c>
      <c r="J4707" s="12" t="str">
        <f>HYPERLINK("https://www.boe.es/gazeta/dias/1804/07/03/pdfs/GMD-1804-53.pdf#page=9","Abrir facsímil")</f>
        <v>Abrir facsímil</v>
      </c>
      <c r="K4707" s="15" t="s">
        <v>22</v>
      </c>
    </row>
    <row r="4708" spans="1:11" ht="42" customHeight="1">
      <c r="A4708" s="4" t="s">
        <v>11282</v>
      </c>
      <c r="B4708" s="5" t="s">
        <v>11283</v>
      </c>
      <c r="C4708" s="5" t="s">
        <v>27</v>
      </c>
      <c r="D4708" s="5" t="s">
        <v>28</v>
      </c>
      <c r="E4708" s="5" t="s">
        <v>81</v>
      </c>
      <c r="F4708" s="9">
        <v>98</v>
      </c>
      <c r="G4708" s="9">
        <v>1089</v>
      </c>
      <c r="H4708" s="5" t="s">
        <v>20</v>
      </c>
      <c r="I4708" s="5" t="s">
        <v>11284</v>
      </c>
      <c r="J4708" s="12" t="str">
        <f>HYPERLINK("https://www.boe.es/gazeta/dias/1804/12/07/pdfs/GMD-1804-98.pdf#page=5","Abrir facsímil")</f>
        <v>Abrir facsímil</v>
      </c>
      <c r="K4708" s="15" t="s">
        <v>22</v>
      </c>
    </row>
    <row r="4709" spans="1:11" ht="42" customHeight="1">
      <c r="A4709" s="4" t="s">
        <v>11285</v>
      </c>
      <c r="B4709" s="5" t="s">
        <v>11286</v>
      </c>
      <c r="C4709" s="5" t="s">
        <v>27</v>
      </c>
      <c r="D4709" s="5" t="s">
        <v>28</v>
      </c>
      <c r="E4709" s="5" t="s">
        <v>794</v>
      </c>
      <c r="F4709" s="9">
        <v>42</v>
      </c>
      <c r="G4709" s="9">
        <v>473</v>
      </c>
      <c r="H4709" s="5" t="s">
        <v>20</v>
      </c>
      <c r="I4709" s="5" t="s">
        <v>11287</v>
      </c>
      <c r="J4709" s="12" t="str">
        <f>HYPERLINK("https://www.boe.es/gazeta/dias/1804/05/25/pdfs/GMD-1804-42.pdf#page=11","Abrir facsímil")</f>
        <v>Abrir facsímil</v>
      </c>
      <c r="K4709" s="15" t="s">
        <v>22</v>
      </c>
    </row>
    <row r="4710" spans="1:11" ht="42" customHeight="1">
      <c r="A4710" s="4" t="s">
        <v>11288</v>
      </c>
      <c r="B4710" s="5" t="s">
        <v>11288</v>
      </c>
      <c r="C4710" s="5" t="s">
        <v>57</v>
      </c>
      <c r="D4710" s="5" t="s">
        <v>58</v>
      </c>
      <c r="E4710" s="5" t="s">
        <v>50</v>
      </c>
      <c r="F4710" s="9">
        <v>93</v>
      </c>
      <c r="G4710" s="9">
        <v>1028</v>
      </c>
      <c r="H4710" s="5" t="s">
        <v>20</v>
      </c>
      <c r="I4710" s="5" t="s">
        <v>11289</v>
      </c>
      <c r="J4710" s="12" t="str">
        <f>HYPERLINK("https://www.boe.es/gazeta/dias/1804/11/20/pdfs/GMD-1804-93.pdf#page=4","Abrir facsímil")</f>
        <v>Abrir facsímil</v>
      </c>
      <c r="K4710" s="15" t="s">
        <v>22</v>
      </c>
    </row>
    <row r="4711" spans="1:11" ht="42" customHeight="1">
      <c r="A4711" s="4" t="s">
        <v>11290</v>
      </c>
      <c r="B4711" s="5" t="s">
        <v>11291</v>
      </c>
      <c r="C4711" s="5" t="s">
        <v>65</v>
      </c>
      <c r="D4711" s="5" t="s">
        <v>66</v>
      </c>
      <c r="E4711" s="5" t="s">
        <v>191</v>
      </c>
      <c r="F4711" s="9">
        <v>101</v>
      </c>
      <c r="G4711" s="9">
        <v>1128</v>
      </c>
      <c r="H4711" s="5" t="s">
        <v>20</v>
      </c>
      <c r="I4711" s="5" t="s">
        <v>11292</v>
      </c>
      <c r="J4711" s="12" t="str">
        <f>HYPERLINK("https://www.boe.es/gazeta/dias/1804/12/18/pdfs/GMD-1804-101.pdf#page=8","Abrir facsímil")</f>
        <v>Abrir facsímil</v>
      </c>
      <c r="K4711" s="15" t="s">
        <v>22</v>
      </c>
    </row>
    <row r="4712" spans="1:11" ht="42" customHeight="1">
      <c r="A4712" s="4" t="s">
        <v>11293</v>
      </c>
      <c r="B4712" s="5" t="s">
        <v>11293</v>
      </c>
      <c r="C4712" s="5" t="s">
        <v>27</v>
      </c>
      <c r="D4712" s="5" t="s">
        <v>28</v>
      </c>
      <c r="E4712" s="5" t="s">
        <v>61</v>
      </c>
      <c r="F4712" s="9">
        <v>61</v>
      </c>
      <c r="G4712" s="9">
        <v>676</v>
      </c>
      <c r="H4712" s="5" t="s">
        <v>20</v>
      </c>
      <c r="I4712" s="5" t="s">
        <v>11294</v>
      </c>
      <c r="J4712" s="12" t="str">
        <f>HYPERLINK("https://www.boe.es/gazeta/dias/1804/07/31/pdfs/GMD-1804-61.pdf#page=6","Abrir facsímil")</f>
        <v>Abrir facsímil</v>
      </c>
      <c r="K4712" s="15" t="s">
        <v>22</v>
      </c>
    </row>
    <row r="4713" spans="1:11" ht="42" customHeight="1">
      <c r="A4713" s="4" t="s">
        <v>11295</v>
      </c>
      <c r="B4713" s="5" t="s">
        <v>11296</v>
      </c>
      <c r="C4713" s="5" t="s">
        <v>27</v>
      </c>
      <c r="D4713" s="5" t="s">
        <v>28</v>
      </c>
      <c r="E4713" s="5" t="s">
        <v>54</v>
      </c>
      <c r="F4713" s="9">
        <v>63</v>
      </c>
      <c r="G4713" s="9">
        <v>700</v>
      </c>
      <c r="H4713" s="5" t="s">
        <v>20</v>
      </c>
      <c r="I4713" s="5" t="s">
        <v>11297</v>
      </c>
      <c r="J4713" s="12" t="str">
        <f>HYPERLINK("https://www.boe.es/gazeta/dias/1804/08/07/pdfs/GMD-1804-63.pdf#page=10","Abrir facsímil")</f>
        <v>Abrir facsímil</v>
      </c>
      <c r="K4713" s="15" t="s">
        <v>22</v>
      </c>
    </row>
    <row r="4714" spans="1:11" ht="42" customHeight="1">
      <c r="A4714" s="4" t="s">
        <v>11298</v>
      </c>
      <c r="B4714" s="5" t="s">
        <v>11299</v>
      </c>
      <c r="C4714" s="5" t="s">
        <v>85</v>
      </c>
      <c r="D4714" s="5" t="s">
        <v>86</v>
      </c>
      <c r="E4714" s="5" t="s">
        <v>97</v>
      </c>
      <c r="F4714" s="9">
        <v>50</v>
      </c>
      <c r="G4714" s="9">
        <v>554</v>
      </c>
      <c r="H4714" s="5" t="s">
        <v>20</v>
      </c>
      <c r="I4714" s="5" t="s">
        <v>11300</v>
      </c>
      <c r="J4714" s="12" t="str">
        <f>HYPERLINK("https://www.boe.es/gazeta/dias/1804/06/22/pdfs/GMD-1804-50.pdf#page=8","Abrir facsímil")</f>
        <v>Abrir facsímil</v>
      </c>
      <c r="K4714" s="15" t="s">
        <v>22</v>
      </c>
    </row>
    <row r="4715" spans="1:11" ht="42" customHeight="1">
      <c r="A4715" s="4" t="s">
        <v>11301</v>
      </c>
      <c r="B4715" s="5" t="s">
        <v>11301</v>
      </c>
      <c r="C4715" s="5" t="s">
        <v>27</v>
      </c>
      <c r="D4715" s="5" t="s">
        <v>28</v>
      </c>
      <c r="E4715" s="5" t="s">
        <v>159</v>
      </c>
      <c r="F4715" s="9">
        <v>15</v>
      </c>
      <c r="G4715" s="9">
        <v>164</v>
      </c>
      <c r="H4715" s="5" t="s">
        <v>20</v>
      </c>
      <c r="I4715" s="5" t="s">
        <v>11302</v>
      </c>
      <c r="J4715" s="12" t="str">
        <f>HYPERLINK("https://www.boe.es/gazeta/dias/1804/02/21/pdfs/GMD-1804-15.pdf#page=8","Abrir facsímil")</f>
        <v>Abrir facsímil</v>
      </c>
      <c r="K4715" s="15" t="s">
        <v>22</v>
      </c>
    </row>
    <row r="4716" spans="1:11" ht="42" customHeight="1">
      <c r="A4716" s="4" t="s">
        <v>11303</v>
      </c>
      <c r="B4716" s="5" t="s">
        <v>11303</v>
      </c>
      <c r="C4716" s="5" t="s">
        <v>17</v>
      </c>
      <c r="D4716" s="5" t="s">
        <v>18</v>
      </c>
      <c r="E4716" s="5" t="s">
        <v>258</v>
      </c>
      <c r="F4716" s="9">
        <v>14</v>
      </c>
      <c r="G4716" s="9">
        <v>155</v>
      </c>
      <c r="H4716" s="5" t="s">
        <v>20</v>
      </c>
      <c r="I4716" s="5" t="s">
        <v>11304</v>
      </c>
      <c r="J4716" s="12" t="str">
        <f>HYPERLINK("https://www.boe.es/gazeta/dias/1804/02/17/pdfs/GMD-1804-14.pdf#page=11","Abrir facsímil")</f>
        <v>Abrir facsímil</v>
      </c>
      <c r="K4716" s="15" t="s">
        <v>22</v>
      </c>
    </row>
    <row r="4717" spans="1:11" ht="42" customHeight="1">
      <c r="A4717" s="4" t="s">
        <v>11305</v>
      </c>
      <c r="B4717" s="5" t="s">
        <v>11306</v>
      </c>
      <c r="C4717" s="5" t="s">
        <v>17</v>
      </c>
      <c r="D4717" s="5" t="s">
        <v>18</v>
      </c>
      <c r="E4717" s="5" t="s">
        <v>258</v>
      </c>
      <c r="F4717" s="9">
        <v>14</v>
      </c>
      <c r="G4717" s="9">
        <v>155</v>
      </c>
      <c r="H4717" s="5" t="s">
        <v>20</v>
      </c>
      <c r="I4717" s="5" t="s">
        <v>11307</v>
      </c>
      <c r="J4717" s="12" t="str">
        <f>HYPERLINK("https://www.boe.es/gazeta/dias/1804/02/17/pdfs/GMD-1804-14.pdf#page=11","Abrir facsímil")</f>
        <v>Abrir facsímil</v>
      </c>
      <c r="K4717" s="15" t="s">
        <v>22</v>
      </c>
    </row>
    <row r="4718" spans="1:11" ht="42" customHeight="1">
      <c r="A4718" s="4" t="s">
        <v>11308</v>
      </c>
      <c r="B4718" s="5" t="s">
        <v>11309</v>
      </c>
      <c r="C4718" s="5" t="s">
        <v>27</v>
      </c>
      <c r="D4718" s="5" t="s">
        <v>28</v>
      </c>
      <c r="E4718" s="5" t="s">
        <v>81</v>
      </c>
      <c r="F4718" s="9">
        <v>98</v>
      </c>
      <c r="G4718" s="9">
        <v>1089</v>
      </c>
      <c r="H4718" s="5" t="s">
        <v>20</v>
      </c>
      <c r="I4718" s="5" t="s">
        <v>11310</v>
      </c>
      <c r="J4718" s="12" t="str">
        <f>HYPERLINK("https://www.boe.es/gazeta/dias/1804/12/07/pdfs/GMD-1804-98.pdf#page=5","Abrir facsímil")</f>
        <v>Abrir facsímil</v>
      </c>
      <c r="K4718" s="15" t="s">
        <v>22</v>
      </c>
    </row>
    <row r="4719" spans="1:11" ht="42" customHeight="1">
      <c r="A4719" s="4" t="s">
        <v>11311</v>
      </c>
      <c r="B4719" s="5" t="s">
        <v>11311</v>
      </c>
      <c r="C4719" s="5" t="s">
        <v>85</v>
      </c>
      <c r="D4719" s="5" t="s">
        <v>86</v>
      </c>
      <c r="E4719" s="5" t="s">
        <v>326</v>
      </c>
      <c r="F4719" s="9">
        <v>69</v>
      </c>
      <c r="G4719" s="9">
        <v>776</v>
      </c>
      <c r="H4719" s="5" t="s">
        <v>20</v>
      </c>
      <c r="I4719" s="5" t="s">
        <v>11312</v>
      </c>
      <c r="J4719" s="12" t="str">
        <f>HYPERLINK("https://www.boe.es/gazeta/dias/1804/08/28/pdfs/GMD-1804-69.pdf#page=10","Abrir facsímil")</f>
        <v>Abrir facsímil</v>
      </c>
      <c r="K4719" s="15" t="s">
        <v>22</v>
      </c>
    </row>
    <row r="4720" spans="1:11" ht="42" customHeight="1">
      <c r="A4720" s="4" t="s">
        <v>11313</v>
      </c>
      <c r="B4720" s="5" t="s">
        <v>11314</v>
      </c>
      <c r="C4720" s="5" t="s">
        <v>85</v>
      </c>
      <c r="D4720" s="5" t="s">
        <v>86</v>
      </c>
      <c r="E4720" s="5" t="s">
        <v>234</v>
      </c>
      <c r="F4720" s="9">
        <v>86</v>
      </c>
      <c r="G4720" s="9">
        <v>950</v>
      </c>
      <c r="H4720" s="5" t="s">
        <v>20</v>
      </c>
      <c r="I4720" s="5" t="s">
        <v>11315</v>
      </c>
      <c r="J4720" s="12" t="str">
        <f>HYPERLINK("https://www.boe.es/gazeta/dias/1804/10/26/pdfs/GMD-1804-86.pdf#page=8","Abrir facsímil")</f>
        <v>Abrir facsímil</v>
      </c>
      <c r="K4720" s="15" t="s">
        <v>22</v>
      </c>
    </row>
    <row r="4721" spans="1:11" ht="42" customHeight="1">
      <c r="A4721" s="4" t="s">
        <v>11316</v>
      </c>
      <c r="B4721" s="5" t="s">
        <v>11317</v>
      </c>
      <c r="C4721" s="5" t="s">
        <v>85</v>
      </c>
      <c r="D4721" s="5" t="s">
        <v>86</v>
      </c>
      <c r="E4721" s="5" t="s">
        <v>208</v>
      </c>
      <c r="F4721" s="9">
        <v>97</v>
      </c>
      <c r="G4721" s="9">
        <v>1084</v>
      </c>
      <c r="H4721" s="5" t="s">
        <v>20</v>
      </c>
      <c r="I4721" s="5" t="s">
        <v>11318</v>
      </c>
      <c r="J4721" s="12" t="str">
        <f>HYPERLINK("https://www.boe.es/gazeta/dias/1804/12/04/pdfs/GMD-1804-97.pdf#page=12","Abrir facsímil")</f>
        <v>Abrir facsímil</v>
      </c>
      <c r="K4721" s="15" t="s">
        <v>22</v>
      </c>
    </row>
    <row r="4722" spans="1:11" ht="42" customHeight="1">
      <c r="A4722" s="4" t="s">
        <v>11313</v>
      </c>
      <c r="B4722" s="5" t="s">
        <v>11314</v>
      </c>
      <c r="C4722" s="5" t="s">
        <v>85</v>
      </c>
      <c r="D4722" s="5" t="s">
        <v>86</v>
      </c>
      <c r="E4722" s="5" t="s">
        <v>191</v>
      </c>
      <c r="F4722" s="9">
        <v>101</v>
      </c>
      <c r="G4722" s="9">
        <v>1132</v>
      </c>
      <c r="H4722" s="5" t="s">
        <v>20</v>
      </c>
      <c r="I4722" s="5" t="s">
        <v>11319</v>
      </c>
      <c r="J4722" s="12" t="str">
        <f>HYPERLINK("https://www.boe.es/gazeta/dias/1804/12/18/pdfs/GMD-1804-101.pdf#page=12","Abrir facsímil")</f>
        <v>Abrir facsímil</v>
      </c>
      <c r="K4722" s="15" t="s">
        <v>22</v>
      </c>
    </row>
    <row r="4723" spans="1:11" ht="42" customHeight="1">
      <c r="A4723" s="4" t="s">
        <v>11320</v>
      </c>
      <c r="B4723" s="5" t="s">
        <v>11320</v>
      </c>
      <c r="C4723" s="5" t="s">
        <v>27</v>
      </c>
      <c r="D4723" s="5" t="s">
        <v>28</v>
      </c>
      <c r="E4723" s="5" t="s">
        <v>542</v>
      </c>
      <c r="F4723" s="9">
        <v>54</v>
      </c>
      <c r="G4723" s="9">
        <v>598</v>
      </c>
      <c r="H4723" s="5" t="s">
        <v>20</v>
      </c>
      <c r="I4723" s="5" t="s">
        <v>11321</v>
      </c>
      <c r="J4723" s="12" t="str">
        <f>HYPERLINK("https://www.boe.es/gazeta/dias/1804/07/06/pdfs/GMD-1804-54.pdf#page=4","Abrir facsímil")</f>
        <v>Abrir facsímil</v>
      </c>
      <c r="K4723" s="15" t="s">
        <v>22</v>
      </c>
    </row>
    <row r="4724" spans="1:11" ht="42" customHeight="1">
      <c r="A4724" s="4" t="s">
        <v>11322</v>
      </c>
      <c r="B4724" s="5" t="s">
        <v>11323</v>
      </c>
      <c r="C4724" s="5" t="s">
        <v>27</v>
      </c>
      <c r="D4724" s="5" t="s">
        <v>28</v>
      </c>
      <c r="E4724" s="5" t="s">
        <v>678</v>
      </c>
      <c r="F4724" s="9">
        <v>104</v>
      </c>
      <c r="G4724" s="9">
        <v>1162</v>
      </c>
      <c r="H4724" s="5" t="s">
        <v>20</v>
      </c>
      <c r="I4724" s="5" t="s">
        <v>11324</v>
      </c>
      <c r="J4724" s="12" t="str">
        <f>HYPERLINK("https://www.boe.es/gazeta/dias/1804/12/28/pdfs/GMD-1804-104.pdf#page=10","Abrir facsímil")</f>
        <v>Abrir facsímil</v>
      </c>
      <c r="K4724" s="15" t="s">
        <v>22</v>
      </c>
    </row>
    <row r="4725" spans="1:11" ht="42" customHeight="1">
      <c r="A4725" s="4" t="s">
        <v>11325</v>
      </c>
      <c r="B4725" s="5" t="s">
        <v>11326</v>
      </c>
      <c r="C4725" s="5" t="s">
        <v>17</v>
      </c>
      <c r="D4725" s="5" t="s">
        <v>18</v>
      </c>
      <c r="E4725" s="5" t="s">
        <v>37</v>
      </c>
      <c r="F4725" s="9">
        <v>29</v>
      </c>
      <c r="G4725" s="9">
        <v>318</v>
      </c>
      <c r="H4725" s="5" t="s">
        <v>20</v>
      </c>
      <c r="I4725" s="5" t="s">
        <v>11327</v>
      </c>
      <c r="J4725" s="12" t="str">
        <f>HYPERLINK("https://www.boe.es/gazeta/dias/1804/04/10/pdfs/GMD-1804-29.pdf#page=8","Abrir facsímil")</f>
        <v>Abrir facsímil</v>
      </c>
      <c r="K4725" s="15" t="s">
        <v>22</v>
      </c>
    </row>
    <row r="4726" spans="1:11" ht="42" customHeight="1">
      <c r="A4726" s="4" t="s">
        <v>11328</v>
      </c>
      <c r="B4726" s="5" t="s">
        <v>11329</v>
      </c>
      <c r="C4726" s="5" t="s">
        <v>27</v>
      </c>
      <c r="D4726" s="5" t="s">
        <v>28</v>
      </c>
      <c r="E4726" s="5" t="s">
        <v>736</v>
      </c>
      <c r="F4726" s="9">
        <v>83</v>
      </c>
      <c r="G4726" s="9">
        <v>919</v>
      </c>
      <c r="H4726" s="5" t="s">
        <v>20</v>
      </c>
      <c r="I4726" s="5" t="s">
        <v>11330</v>
      </c>
      <c r="J4726" s="12" t="str">
        <f>HYPERLINK("https://www.boe.es/gazeta/dias/1804/10/16/pdfs/GMD-1804-83.pdf#page=9","Abrir facsímil")</f>
        <v>Abrir facsímil</v>
      </c>
      <c r="K4726" s="15" t="s">
        <v>22</v>
      </c>
    </row>
    <row r="4727" spans="1:11" ht="42" customHeight="1">
      <c r="A4727" s="4" t="s">
        <v>11331</v>
      </c>
      <c r="B4727" s="5" t="s">
        <v>11332</v>
      </c>
      <c r="C4727" s="5" t="s">
        <v>65</v>
      </c>
      <c r="D4727" s="5" t="s">
        <v>66</v>
      </c>
      <c r="E4727" s="5" t="s">
        <v>47</v>
      </c>
      <c r="F4727" s="9">
        <v>78</v>
      </c>
      <c r="G4727" s="9">
        <v>868</v>
      </c>
      <c r="H4727" s="5" t="s">
        <v>20</v>
      </c>
      <c r="I4727" s="5" t="s">
        <v>11333</v>
      </c>
      <c r="J4727" s="12" t="str">
        <f>HYPERLINK("https://www.boe.es/gazeta/dias/1804/09/28/pdfs/GMD-1804-78.pdf#page=6","Abrir facsímil")</f>
        <v>Abrir facsímil</v>
      </c>
      <c r="K4727" s="15" t="s">
        <v>22</v>
      </c>
    </row>
    <row r="4728" spans="1:11" ht="42" customHeight="1">
      <c r="A4728" s="4" t="s">
        <v>11334</v>
      </c>
      <c r="B4728" s="5" t="s">
        <v>11335</v>
      </c>
      <c r="C4728" s="5" t="s">
        <v>17</v>
      </c>
      <c r="D4728" s="5" t="s">
        <v>18</v>
      </c>
      <c r="E4728" s="5" t="s">
        <v>332</v>
      </c>
      <c r="F4728" s="9">
        <v>66</v>
      </c>
      <c r="G4728" s="9">
        <v>740</v>
      </c>
      <c r="H4728" s="5" t="s">
        <v>20</v>
      </c>
      <c r="I4728" s="5" t="s">
        <v>11336</v>
      </c>
      <c r="J4728" s="12" t="str">
        <f>HYPERLINK("https://www.boe.es/gazeta/dias/1804/08/17/pdfs/GMD-1804-66.pdf#page=6","Abrir facsímil")</f>
        <v>Abrir facsímil</v>
      </c>
      <c r="K4728" s="15" t="s">
        <v>22</v>
      </c>
    </row>
    <row r="4729" spans="1:11" ht="42" customHeight="1">
      <c r="A4729" s="4" t="s">
        <v>11337</v>
      </c>
      <c r="B4729" s="5" t="s">
        <v>11338</v>
      </c>
      <c r="C4729" s="5" t="s">
        <v>27</v>
      </c>
      <c r="D4729" s="5" t="s">
        <v>28</v>
      </c>
      <c r="E4729" s="5" t="s">
        <v>623</v>
      </c>
      <c r="F4729" s="9">
        <v>51</v>
      </c>
      <c r="G4729" s="9">
        <v>561</v>
      </c>
      <c r="H4729" s="5" t="s">
        <v>20</v>
      </c>
      <c r="I4729" s="5" t="s">
        <v>11339</v>
      </c>
      <c r="J4729" s="12" t="str">
        <f>HYPERLINK("https://www.boe.es/gazeta/dias/1804/06/26/pdfs/GMD-1804-51.pdf#page=7","Abrir facsímil")</f>
        <v>Abrir facsímil</v>
      </c>
      <c r="K4729" s="15" t="s">
        <v>22</v>
      </c>
    </row>
    <row r="4730" spans="1:11" ht="42" customHeight="1">
      <c r="A4730" s="4" t="s">
        <v>11340</v>
      </c>
      <c r="B4730" s="5" t="s">
        <v>11341</v>
      </c>
      <c r="C4730" s="5" t="s">
        <v>27</v>
      </c>
      <c r="D4730" s="5" t="s">
        <v>28</v>
      </c>
      <c r="E4730" s="5" t="s">
        <v>191</v>
      </c>
      <c r="F4730" s="9">
        <v>101</v>
      </c>
      <c r="G4730" s="9">
        <v>1128</v>
      </c>
      <c r="H4730" s="5" t="s">
        <v>20</v>
      </c>
      <c r="I4730" s="5" t="s">
        <v>11342</v>
      </c>
      <c r="J4730" s="12" t="str">
        <f>HYPERLINK("https://www.boe.es/gazeta/dias/1804/12/18/pdfs/GMD-1804-101.pdf#page=8","Abrir facsímil")</f>
        <v>Abrir facsímil</v>
      </c>
      <c r="K4730" s="15" t="s">
        <v>22</v>
      </c>
    </row>
    <row r="4731" spans="1:11" ht="42" customHeight="1">
      <c r="A4731" s="4" t="s">
        <v>11343</v>
      </c>
      <c r="B4731" s="5" t="s">
        <v>11344</v>
      </c>
      <c r="C4731" s="5" t="s">
        <v>17</v>
      </c>
      <c r="D4731" s="5" t="s">
        <v>18</v>
      </c>
      <c r="E4731" s="5" t="s">
        <v>637</v>
      </c>
      <c r="F4731" s="9">
        <v>74</v>
      </c>
      <c r="G4731" s="9">
        <v>831</v>
      </c>
      <c r="H4731" s="5" t="s">
        <v>20</v>
      </c>
      <c r="I4731" s="5" t="s">
        <v>11345</v>
      </c>
      <c r="J4731" s="12" t="str">
        <f>HYPERLINK("https://www.boe.es/gazeta/dias/1804/09/14/pdfs/GMD-1804-74.pdf#page=9","Abrir facsímil")</f>
        <v>Abrir facsímil</v>
      </c>
      <c r="K4731" s="15" t="s">
        <v>22</v>
      </c>
    </row>
    <row r="4732" spans="1:11" ht="42" customHeight="1">
      <c r="A4732" s="4" t="s">
        <v>11346</v>
      </c>
      <c r="B4732" s="5" t="s">
        <v>11347</v>
      </c>
      <c r="C4732" s="5" t="s">
        <v>27</v>
      </c>
      <c r="D4732" s="5" t="s">
        <v>28</v>
      </c>
      <c r="E4732" s="5" t="s">
        <v>29</v>
      </c>
      <c r="F4732" s="9">
        <v>88</v>
      </c>
      <c r="G4732" s="9">
        <v>979</v>
      </c>
      <c r="H4732" s="5" t="s">
        <v>20</v>
      </c>
      <c r="I4732" s="5" t="s">
        <v>11348</v>
      </c>
      <c r="J4732" s="12" t="str">
        <f>HYPERLINK("https://www.boe.es/gazeta/dias/1804/11/02/pdfs/GMD-1804-88.pdf#page=11","Abrir facsímil")</f>
        <v>Abrir facsímil</v>
      </c>
      <c r="K4732" s="15" t="s">
        <v>22</v>
      </c>
    </row>
    <row r="4733" spans="1:11" ht="42" customHeight="1">
      <c r="A4733" s="4" t="s">
        <v>11349</v>
      </c>
      <c r="B4733" s="5" t="s">
        <v>11350</v>
      </c>
      <c r="C4733" s="5" t="s">
        <v>27</v>
      </c>
      <c r="D4733" s="5" t="s">
        <v>28</v>
      </c>
      <c r="E4733" s="5" t="s">
        <v>143</v>
      </c>
      <c r="F4733" s="9">
        <v>87</v>
      </c>
      <c r="G4733" s="9">
        <v>963</v>
      </c>
      <c r="H4733" s="5" t="s">
        <v>20</v>
      </c>
      <c r="I4733" s="5" t="s">
        <v>11351</v>
      </c>
      <c r="J4733" s="12" t="str">
        <f>HYPERLINK("https://www.boe.es/gazeta/dias/1804/10/30/pdfs/GMD-1804-87.pdf#page=7","Abrir facsímil")</f>
        <v>Abrir facsímil</v>
      </c>
      <c r="K4733" s="15" t="s">
        <v>22</v>
      </c>
    </row>
    <row r="4734" spans="1:11" ht="42" customHeight="1">
      <c r="A4734" s="4" t="s">
        <v>11352</v>
      </c>
      <c r="B4734" s="5" t="s">
        <v>11353</v>
      </c>
      <c r="C4734" s="5" t="s">
        <v>85</v>
      </c>
      <c r="D4734" s="5" t="s">
        <v>86</v>
      </c>
      <c r="E4734" s="5" t="s">
        <v>666</v>
      </c>
      <c r="F4734" s="9">
        <v>57</v>
      </c>
      <c r="G4734" s="9">
        <v>633</v>
      </c>
      <c r="H4734" s="5" t="s">
        <v>20</v>
      </c>
      <c r="I4734" s="5" t="s">
        <v>11354</v>
      </c>
      <c r="J4734" s="12" t="str">
        <f>HYPERLINK("https://www.boe.es/gazeta/dias/1804/07/17/pdfs/GMD-1804-57.pdf#page=11","Abrir facsímil")</f>
        <v>Abrir facsímil</v>
      </c>
      <c r="K4734" s="15" t="s">
        <v>22</v>
      </c>
    </row>
    <row r="4735" spans="1:11" ht="42" customHeight="1">
      <c r="A4735" s="4" t="s">
        <v>11355</v>
      </c>
      <c r="B4735" s="5" t="s">
        <v>11356</v>
      </c>
      <c r="C4735" s="5" t="s">
        <v>65</v>
      </c>
      <c r="D4735" s="5" t="s">
        <v>66</v>
      </c>
      <c r="E4735" s="5" t="s">
        <v>50</v>
      </c>
      <c r="F4735" s="9">
        <v>93</v>
      </c>
      <c r="G4735" s="9">
        <v>1030</v>
      </c>
      <c r="H4735" s="5" t="s">
        <v>20</v>
      </c>
      <c r="I4735" s="5" t="s">
        <v>11357</v>
      </c>
      <c r="J4735" s="12" t="str">
        <f>HYPERLINK("https://www.boe.es/gazeta/dias/1804/11/20/pdfs/GMD-1804-93.pdf#page=6","Abrir facsímil")</f>
        <v>Abrir facsímil</v>
      </c>
      <c r="K4735" s="15" t="s">
        <v>22</v>
      </c>
    </row>
    <row r="4736" spans="1:11" ht="42" customHeight="1">
      <c r="A4736" s="4" t="s">
        <v>11358</v>
      </c>
      <c r="B4736" s="5" t="s">
        <v>11359</v>
      </c>
      <c r="C4736" s="5" t="s">
        <v>65</v>
      </c>
      <c r="D4736" s="5" t="s">
        <v>66</v>
      </c>
      <c r="E4736" s="5" t="s">
        <v>298</v>
      </c>
      <c r="F4736" s="9">
        <v>10</v>
      </c>
      <c r="G4736" s="9">
        <v>109</v>
      </c>
      <c r="H4736" s="5" t="s">
        <v>20</v>
      </c>
      <c r="I4736" s="5" t="s">
        <v>11360</v>
      </c>
      <c r="J4736" s="12" t="str">
        <f>HYPERLINK("https://www.boe.es/gazeta/dias/1804/02/03/pdfs/GMD-1804-10.pdf#page=9","Abrir facsímil")</f>
        <v>Abrir facsímil</v>
      </c>
      <c r="K4736" s="15" t="s">
        <v>22</v>
      </c>
    </row>
    <row r="4737" spans="1:11" ht="42" customHeight="1">
      <c r="A4737" s="4" t="s">
        <v>11361</v>
      </c>
      <c r="B4737" s="5" t="s">
        <v>11362</v>
      </c>
      <c r="C4737" s="5" t="s">
        <v>65</v>
      </c>
      <c r="D4737" s="5" t="s">
        <v>66</v>
      </c>
      <c r="E4737" s="5" t="s">
        <v>59</v>
      </c>
      <c r="F4737" s="9">
        <v>55</v>
      </c>
      <c r="G4737" s="9">
        <v>613</v>
      </c>
      <c r="H4737" s="5" t="s">
        <v>20</v>
      </c>
      <c r="I4737" s="5" t="s">
        <v>11363</v>
      </c>
      <c r="J4737" s="12" t="str">
        <f>HYPERLINK("https://www.boe.es/gazeta/dias/1804/07/10/pdfs/GMD-1804-55.pdf#page=11","Abrir facsímil")</f>
        <v>Abrir facsímil</v>
      </c>
      <c r="K4737" s="15" t="s">
        <v>22</v>
      </c>
    </row>
    <row r="4738" spans="1:11" ht="42" customHeight="1">
      <c r="A4738" s="4" t="s">
        <v>11364</v>
      </c>
      <c r="B4738" s="5" t="s">
        <v>11365</v>
      </c>
      <c r="C4738" s="5" t="s">
        <v>27</v>
      </c>
      <c r="D4738" s="5" t="s">
        <v>28</v>
      </c>
      <c r="E4738" s="5" t="s">
        <v>140</v>
      </c>
      <c r="F4738" s="9">
        <v>39</v>
      </c>
      <c r="G4738" s="9">
        <v>435</v>
      </c>
      <c r="H4738" s="5" t="s">
        <v>20</v>
      </c>
      <c r="I4738" s="5" t="s">
        <v>11366</v>
      </c>
      <c r="J4738" s="12" t="str">
        <f>HYPERLINK("https://www.boe.es/gazeta/dias/1804/05/15/pdfs/GMD-1804-39.pdf#page=9","Abrir facsímil")</f>
        <v>Abrir facsímil</v>
      </c>
      <c r="K4738" s="15" t="s">
        <v>22</v>
      </c>
    </row>
    <row r="4739" spans="1:11" ht="42" customHeight="1">
      <c r="A4739" s="4" t="s">
        <v>11367</v>
      </c>
      <c r="B4739" s="5" t="s">
        <v>11368</v>
      </c>
      <c r="C4739" s="5" t="s">
        <v>27</v>
      </c>
      <c r="D4739" s="5" t="s">
        <v>28</v>
      </c>
      <c r="E4739" s="5" t="s">
        <v>37</v>
      </c>
      <c r="F4739" s="9">
        <v>29</v>
      </c>
      <c r="G4739" s="9">
        <v>319</v>
      </c>
      <c r="H4739" s="5" t="s">
        <v>20</v>
      </c>
      <c r="I4739" s="5" t="s">
        <v>11369</v>
      </c>
      <c r="J4739" s="12" t="str">
        <f>HYPERLINK("https://www.boe.es/gazeta/dias/1804/04/10/pdfs/GMD-1804-29.pdf#page=9","Abrir facsímil")</f>
        <v>Abrir facsímil</v>
      </c>
      <c r="K4739" s="15" t="s">
        <v>22</v>
      </c>
    </row>
    <row r="4740" spans="1:11" ht="42" customHeight="1">
      <c r="A4740" s="4" t="s">
        <v>11370</v>
      </c>
      <c r="B4740" s="5" t="s">
        <v>11371</v>
      </c>
      <c r="C4740" s="5" t="s">
        <v>27</v>
      </c>
      <c r="D4740" s="5" t="s">
        <v>28</v>
      </c>
      <c r="E4740" s="5" t="s">
        <v>47</v>
      </c>
      <c r="F4740" s="9">
        <v>78</v>
      </c>
      <c r="G4740" s="9">
        <v>868</v>
      </c>
      <c r="H4740" s="5" t="s">
        <v>20</v>
      </c>
      <c r="I4740" s="5" t="s">
        <v>11372</v>
      </c>
      <c r="J4740" s="12" t="str">
        <f>HYPERLINK("https://www.boe.es/gazeta/dias/1804/09/28/pdfs/GMD-1804-78.pdf#page=6","Abrir facsímil")</f>
        <v>Abrir facsímil</v>
      </c>
      <c r="K4740" s="15" t="s">
        <v>22</v>
      </c>
    </row>
    <row r="4741" spans="1:11" ht="42" customHeight="1">
      <c r="A4741" s="4" t="s">
        <v>11373</v>
      </c>
      <c r="B4741" s="5" t="s">
        <v>11374</v>
      </c>
      <c r="C4741" s="5" t="s">
        <v>65</v>
      </c>
      <c r="D4741" s="5" t="s">
        <v>66</v>
      </c>
      <c r="E4741" s="5" t="s">
        <v>302</v>
      </c>
      <c r="F4741" s="9">
        <v>3</v>
      </c>
      <c r="G4741" s="9">
        <v>27</v>
      </c>
      <c r="H4741" s="5" t="s">
        <v>20</v>
      </c>
      <c r="I4741" s="5" t="s">
        <v>11375</v>
      </c>
      <c r="J4741" s="12" t="str">
        <f>HYPERLINK("https://www.boe.es/gazeta/dias/1804/01/10/pdfs/GMD-1804-3.pdf#page=7","Abrir facsímil")</f>
        <v>Abrir facsímil</v>
      </c>
      <c r="K4741" s="15" t="s">
        <v>22</v>
      </c>
    </row>
    <row r="4742" spans="1:11" ht="42" customHeight="1">
      <c r="A4742" s="4" t="s">
        <v>11373</v>
      </c>
      <c r="B4742" s="5" t="s">
        <v>11374</v>
      </c>
      <c r="C4742" s="5" t="s">
        <v>198</v>
      </c>
      <c r="D4742" s="5" t="s">
        <v>66</v>
      </c>
      <c r="E4742" s="5" t="s">
        <v>37</v>
      </c>
      <c r="F4742" s="9">
        <v>29</v>
      </c>
      <c r="G4742" s="9">
        <v>319</v>
      </c>
      <c r="H4742" s="5" t="s">
        <v>20</v>
      </c>
      <c r="I4742" s="5" t="s">
        <v>11376</v>
      </c>
      <c r="J4742" s="12" t="str">
        <f>HYPERLINK("https://www.boe.es/gazeta/dias/1804/04/10/pdfs/GMD-1804-29.pdf#page=9","Abrir facsímil")</f>
        <v>Abrir facsímil</v>
      </c>
      <c r="K4742" s="15" t="s">
        <v>22</v>
      </c>
    </row>
    <row r="4743" spans="1:11" ht="42" customHeight="1">
      <c r="A4743" s="4" t="s">
        <v>11373</v>
      </c>
      <c r="B4743" s="5" t="s">
        <v>11374</v>
      </c>
      <c r="C4743" s="5" t="s">
        <v>120</v>
      </c>
      <c r="D4743" s="5" t="s">
        <v>121</v>
      </c>
      <c r="E4743" s="5" t="s">
        <v>33</v>
      </c>
      <c r="F4743" s="9">
        <v>48</v>
      </c>
      <c r="G4743" s="9" t="s">
        <v>98</v>
      </c>
      <c r="H4743" s="5" t="s">
        <v>20</v>
      </c>
      <c r="I4743" s="5" t="s">
        <v>11377</v>
      </c>
      <c r="J4743" s="12" t="str">
        <f>HYPERLINK("https://www.boe.es/gazeta/dias/1804/06/15/pdfs/GMD-C-1804-48.pdf#page=1","Abrir facsímil")</f>
        <v>Abrir facsímil</v>
      </c>
      <c r="K4743" s="15" t="s">
        <v>22</v>
      </c>
    </row>
    <row r="4744" spans="1:11" ht="42" customHeight="1">
      <c r="A4744" s="4" t="s">
        <v>11378</v>
      </c>
      <c r="B4744" s="5" t="s">
        <v>11379</v>
      </c>
      <c r="C4744" s="5" t="s">
        <v>120</v>
      </c>
      <c r="D4744" s="5" t="s">
        <v>121</v>
      </c>
      <c r="E4744" s="5" t="s">
        <v>33</v>
      </c>
      <c r="F4744" s="9">
        <v>48</v>
      </c>
      <c r="G4744" s="9" t="s">
        <v>285</v>
      </c>
      <c r="H4744" s="5" t="s">
        <v>20</v>
      </c>
      <c r="I4744" s="5" t="s">
        <v>11380</v>
      </c>
      <c r="J4744" s="12" t="str">
        <f>HYPERLINK("https://www.boe.es/gazeta/dias/1804/06/15/pdfs/GMD-C-1804-48.pdf#page=2","Abrir facsímil")</f>
        <v>Abrir facsímil</v>
      </c>
      <c r="K4744" s="15" t="s">
        <v>22</v>
      </c>
    </row>
    <row r="4745" spans="1:11" ht="42" customHeight="1">
      <c r="A4745" s="4" t="s">
        <v>11381</v>
      </c>
      <c r="B4745" s="5" t="s">
        <v>11382</v>
      </c>
      <c r="C4745" s="5" t="s">
        <v>27</v>
      </c>
      <c r="D4745" s="5" t="s">
        <v>28</v>
      </c>
      <c r="E4745" s="5" t="s">
        <v>670</v>
      </c>
      <c r="F4745" s="9">
        <v>41</v>
      </c>
      <c r="G4745" s="9">
        <v>458</v>
      </c>
      <c r="H4745" s="5" t="s">
        <v>20</v>
      </c>
      <c r="I4745" s="5" t="s">
        <v>11383</v>
      </c>
      <c r="J4745" s="12" t="str">
        <f>HYPERLINK("https://www.boe.es/gazeta/dias/1804/05/22/pdfs/GMD-1804-41.pdf#page=8","Abrir facsímil")</f>
        <v>Abrir facsímil</v>
      </c>
      <c r="K4745" s="15" t="s">
        <v>22</v>
      </c>
    </row>
    <row r="4746" spans="1:11" ht="42" customHeight="1">
      <c r="A4746" s="4" t="s">
        <v>11384</v>
      </c>
      <c r="B4746" s="5" t="s">
        <v>11385</v>
      </c>
      <c r="C4746" s="5" t="s">
        <v>120</v>
      </c>
      <c r="D4746" s="5" t="s">
        <v>121</v>
      </c>
      <c r="E4746" s="5" t="s">
        <v>33</v>
      </c>
      <c r="F4746" s="9">
        <v>48</v>
      </c>
      <c r="G4746" s="9" t="s">
        <v>122</v>
      </c>
      <c r="H4746" s="5" t="s">
        <v>20</v>
      </c>
      <c r="I4746" s="5" t="s">
        <v>11386</v>
      </c>
      <c r="J4746" s="12" t="str">
        <f>HYPERLINK("https://www.boe.es/gazeta/dias/1804/06/15/pdfs/GMD-C-1804-48.pdf#page=3","Abrir facsímil")</f>
        <v>Abrir facsímil</v>
      </c>
      <c r="K4746" s="15" t="s">
        <v>22</v>
      </c>
    </row>
    <row r="4747" spans="1:11" ht="42" customHeight="1">
      <c r="A4747" s="4" t="s">
        <v>11387</v>
      </c>
      <c r="B4747" s="5" t="s">
        <v>11388</v>
      </c>
      <c r="C4747" s="5" t="s">
        <v>17</v>
      </c>
      <c r="D4747" s="5" t="s">
        <v>18</v>
      </c>
      <c r="E4747" s="5" t="s">
        <v>71</v>
      </c>
      <c r="F4747" s="9">
        <v>99</v>
      </c>
      <c r="G4747" s="9">
        <v>1107</v>
      </c>
      <c r="H4747" s="5" t="s">
        <v>20</v>
      </c>
      <c r="I4747" s="5" t="s">
        <v>11389</v>
      </c>
      <c r="J4747" s="12" t="str">
        <f>HYPERLINK("https://www.boe.es/gazeta/dias/1804/12/11/pdfs/GMD-1804-99.pdf#page=7","Abrir facsímil")</f>
        <v>Abrir facsímil</v>
      </c>
      <c r="K4747" s="15" t="s">
        <v>22</v>
      </c>
    </row>
    <row r="4748" spans="1:11" ht="42" customHeight="1">
      <c r="A4748" s="4" t="s">
        <v>11390</v>
      </c>
      <c r="B4748" s="5" t="s">
        <v>11391</v>
      </c>
      <c r="C4748" s="5" t="s">
        <v>27</v>
      </c>
      <c r="D4748" s="5" t="s">
        <v>28</v>
      </c>
      <c r="E4748" s="5" t="s">
        <v>479</v>
      </c>
      <c r="F4748" s="9">
        <v>5</v>
      </c>
      <c r="G4748" s="9">
        <v>47</v>
      </c>
      <c r="H4748" s="5" t="s">
        <v>20</v>
      </c>
      <c r="I4748" s="5" t="s">
        <v>11392</v>
      </c>
      <c r="J4748" s="12" t="str">
        <f>HYPERLINK("https://www.boe.es/gazeta/dias/1804/01/17/pdfs/GMD-1804-5.pdf#page=7","Abrir facsímil")</f>
        <v>Abrir facsímil</v>
      </c>
      <c r="K4748" s="15" t="s">
        <v>22</v>
      </c>
    </row>
    <row r="4749" spans="1:11" ht="42" customHeight="1">
      <c r="A4749" s="4" t="s">
        <v>11393</v>
      </c>
      <c r="B4749" s="5" t="s">
        <v>11394</v>
      </c>
      <c r="C4749" s="5" t="s">
        <v>17</v>
      </c>
      <c r="D4749" s="5" t="s">
        <v>18</v>
      </c>
      <c r="E4749" s="5" t="s">
        <v>388</v>
      </c>
      <c r="F4749" s="9">
        <v>18</v>
      </c>
      <c r="G4749" s="9">
        <v>198</v>
      </c>
      <c r="H4749" s="5" t="s">
        <v>20</v>
      </c>
      <c r="I4749" s="5" t="s">
        <v>11395</v>
      </c>
      <c r="J4749" s="12" t="str">
        <f>HYPERLINK("https://www.boe.es/gazeta/dias/1804/03/02/pdfs/GMD-1804-18.pdf#page=10","Abrir facsímil")</f>
        <v>Abrir facsímil</v>
      </c>
      <c r="K4749" s="15" t="s">
        <v>22</v>
      </c>
    </row>
    <row r="4750" spans="1:11" ht="42" customHeight="1">
      <c r="A4750" s="4" t="s">
        <v>11396</v>
      </c>
      <c r="B4750" s="5" t="s">
        <v>11397</v>
      </c>
      <c r="C4750" s="5" t="s">
        <v>27</v>
      </c>
      <c r="D4750" s="5" t="s">
        <v>28</v>
      </c>
      <c r="E4750" s="5" t="s">
        <v>360</v>
      </c>
      <c r="F4750" s="9">
        <v>81</v>
      </c>
      <c r="G4750" s="9">
        <v>897</v>
      </c>
      <c r="H4750" s="5" t="s">
        <v>20</v>
      </c>
      <c r="I4750" s="5" t="s">
        <v>11398</v>
      </c>
      <c r="J4750" s="12" t="str">
        <f>HYPERLINK("https://www.boe.es/gazeta/dias/1804/10/09/pdfs/GMD-1804-81.pdf#page=7","Abrir facsímil")</f>
        <v>Abrir facsímil</v>
      </c>
      <c r="K4750" s="15" t="s">
        <v>22</v>
      </c>
    </row>
    <row r="4751" spans="1:11" ht="42" customHeight="1">
      <c r="A4751" s="4" t="s">
        <v>11399</v>
      </c>
      <c r="B4751" s="5" t="s">
        <v>11400</v>
      </c>
      <c r="C4751" s="5" t="s">
        <v>262</v>
      </c>
      <c r="D4751" s="5" t="s">
        <v>263</v>
      </c>
      <c r="E4751" s="5" t="s">
        <v>264</v>
      </c>
      <c r="F4751" s="9">
        <v>49</v>
      </c>
      <c r="G4751" s="9" t="s">
        <v>6946</v>
      </c>
      <c r="H4751" s="5" t="s">
        <v>20</v>
      </c>
      <c r="I4751" s="5" t="s">
        <v>11401</v>
      </c>
      <c r="J4751" s="12" t="str">
        <f>HYPERLINK("https://www.boe.es/gazeta/dias/1804/06/19/pdfs/GMD-C-1804-49.pdf#page=10","Abrir facsímil")</f>
        <v>Abrir facsímil</v>
      </c>
      <c r="K4751" s="15" t="s">
        <v>22</v>
      </c>
    </row>
    <row r="4752" spans="1:11" ht="42" customHeight="1">
      <c r="A4752" s="4" t="s">
        <v>11402</v>
      </c>
      <c r="B4752" s="5" t="s">
        <v>11403</v>
      </c>
      <c r="C4752" s="5" t="s">
        <v>65</v>
      </c>
      <c r="D4752" s="5" t="s">
        <v>66</v>
      </c>
      <c r="E4752" s="5" t="s">
        <v>37</v>
      </c>
      <c r="F4752" s="9">
        <v>29</v>
      </c>
      <c r="G4752" s="9">
        <v>318</v>
      </c>
      <c r="H4752" s="5" t="s">
        <v>20</v>
      </c>
      <c r="I4752" s="5" t="s">
        <v>11404</v>
      </c>
      <c r="J4752" s="12" t="str">
        <f>HYPERLINK("https://www.boe.es/gazeta/dias/1804/04/10/pdfs/GMD-1804-29.pdf#page=8","Abrir facsímil")</f>
        <v>Abrir facsímil</v>
      </c>
      <c r="K4752" s="15" t="s">
        <v>22</v>
      </c>
    </row>
    <row r="4753" spans="1:11" ht="42" customHeight="1">
      <c r="A4753" s="4" t="s">
        <v>11405</v>
      </c>
      <c r="B4753" s="5" t="s">
        <v>11406</v>
      </c>
      <c r="C4753" s="5" t="s">
        <v>27</v>
      </c>
      <c r="D4753" s="5" t="s">
        <v>28</v>
      </c>
      <c r="E4753" s="5" t="s">
        <v>320</v>
      </c>
      <c r="F4753" s="9">
        <v>31</v>
      </c>
      <c r="G4753" s="9">
        <v>343</v>
      </c>
      <c r="H4753" s="5" t="s">
        <v>20</v>
      </c>
      <c r="I4753" s="5" t="s">
        <v>11407</v>
      </c>
      <c r="J4753" s="12" t="str">
        <f>HYPERLINK("https://www.boe.es/gazeta/dias/1804/04/17/pdfs/GMD-1804-31.pdf#page=9","Abrir facsímil")</f>
        <v>Abrir facsímil</v>
      </c>
      <c r="K4753" s="15" t="s">
        <v>22</v>
      </c>
    </row>
    <row r="4754" spans="1:11" ht="42" customHeight="1">
      <c r="A4754" s="4" t="s">
        <v>11408</v>
      </c>
      <c r="B4754" s="5" t="s">
        <v>11409</v>
      </c>
      <c r="C4754" s="5" t="s">
        <v>17</v>
      </c>
      <c r="D4754" s="5" t="s">
        <v>18</v>
      </c>
      <c r="E4754" s="5" t="s">
        <v>1278</v>
      </c>
      <c r="F4754" s="9">
        <v>37</v>
      </c>
      <c r="G4754" s="9">
        <v>410</v>
      </c>
      <c r="H4754" s="5" t="s">
        <v>20</v>
      </c>
      <c r="I4754" s="5" t="s">
        <v>11410</v>
      </c>
      <c r="J4754" s="12" t="str">
        <f>HYPERLINK("https://www.boe.es/gazeta/dias/1804/05/08/pdfs/GMD-1804-37.pdf#page=8","Abrir facsímil")</f>
        <v>Abrir facsímil</v>
      </c>
      <c r="K4754" s="15" t="s">
        <v>22</v>
      </c>
    </row>
    <row r="4755" spans="1:11" ht="42" customHeight="1">
      <c r="A4755" s="4" t="s">
        <v>11411</v>
      </c>
      <c r="B4755" s="5" t="s">
        <v>11412</v>
      </c>
      <c r="C4755" s="5" t="s">
        <v>27</v>
      </c>
      <c r="D4755" s="5" t="s">
        <v>28</v>
      </c>
      <c r="E4755" s="5" t="s">
        <v>37</v>
      </c>
      <c r="F4755" s="9">
        <v>29</v>
      </c>
      <c r="G4755" s="9">
        <v>320</v>
      </c>
      <c r="H4755" s="5" t="s">
        <v>20</v>
      </c>
      <c r="I4755" s="5" t="s">
        <v>11413</v>
      </c>
      <c r="J4755" s="12" t="str">
        <f>HYPERLINK("https://www.boe.es/gazeta/dias/1804/04/10/pdfs/GMD-1804-29.pdf#page=10","Abrir facsímil")</f>
        <v>Abrir facsímil</v>
      </c>
      <c r="K4755" s="15" t="s">
        <v>22</v>
      </c>
    </row>
    <row r="4756" spans="1:11" ht="42" customHeight="1">
      <c r="A4756" s="4" t="s">
        <v>11414</v>
      </c>
      <c r="B4756" s="5" t="s">
        <v>11415</v>
      </c>
      <c r="C4756" s="5" t="s">
        <v>17</v>
      </c>
      <c r="D4756" s="5" t="s">
        <v>18</v>
      </c>
      <c r="E4756" s="5" t="s">
        <v>59</v>
      </c>
      <c r="F4756" s="9">
        <v>55</v>
      </c>
      <c r="G4756" s="9">
        <v>613</v>
      </c>
      <c r="H4756" s="5" t="s">
        <v>20</v>
      </c>
      <c r="I4756" s="5" t="s">
        <v>11416</v>
      </c>
      <c r="J4756" s="12" t="str">
        <f>HYPERLINK("https://www.boe.es/gazeta/dias/1804/07/10/pdfs/GMD-1804-55.pdf#page=11","Abrir facsímil")</f>
        <v>Abrir facsímil</v>
      </c>
      <c r="K4756" s="15" t="s">
        <v>22</v>
      </c>
    </row>
    <row r="4757" spans="1:11" ht="42" customHeight="1">
      <c r="A4757" s="4" t="s">
        <v>11417</v>
      </c>
      <c r="B4757" s="5" t="s">
        <v>11418</v>
      </c>
      <c r="C4757" s="5" t="s">
        <v>27</v>
      </c>
      <c r="D4757" s="5" t="s">
        <v>28</v>
      </c>
      <c r="E4757" s="5" t="s">
        <v>37</v>
      </c>
      <c r="F4757" s="9">
        <v>29</v>
      </c>
      <c r="G4757" s="9">
        <v>319</v>
      </c>
      <c r="H4757" s="5" t="s">
        <v>20</v>
      </c>
      <c r="I4757" s="5" t="s">
        <v>11419</v>
      </c>
      <c r="J4757" s="12" t="str">
        <f>HYPERLINK("https://www.boe.es/gazeta/dias/1804/04/10/pdfs/GMD-1804-29.pdf#page=9","Abrir facsímil")</f>
        <v>Abrir facsímil</v>
      </c>
      <c r="K4757" s="15" t="s">
        <v>22</v>
      </c>
    </row>
    <row r="4758" spans="1:11" ht="42" customHeight="1">
      <c r="A4758" s="4" t="s">
        <v>11420</v>
      </c>
      <c r="B4758" s="5" t="s">
        <v>11421</v>
      </c>
      <c r="C4758" s="5" t="s">
        <v>27</v>
      </c>
      <c r="D4758" s="5" t="s">
        <v>28</v>
      </c>
      <c r="E4758" s="5" t="s">
        <v>91</v>
      </c>
      <c r="F4758" s="9">
        <v>72</v>
      </c>
      <c r="G4758" s="9">
        <v>806</v>
      </c>
      <c r="H4758" s="5" t="s">
        <v>20</v>
      </c>
      <c r="I4758" s="5" t="s">
        <v>11422</v>
      </c>
      <c r="J4758" s="12" t="str">
        <f>HYPERLINK("https://www.boe.es/gazeta/dias/1804/09/07/pdfs/GMD-1804-72.pdf#page=8","Abrir facsímil")</f>
        <v>Abrir facsímil</v>
      </c>
      <c r="K4758" s="15" t="s">
        <v>22</v>
      </c>
    </row>
    <row r="4759" spans="1:11" ht="42" customHeight="1">
      <c r="A4759" s="4" t="s">
        <v>11423</v>
      </c>
      <c r="B4759" s="5" t="s">
        <v>11424</v>
      </c>
      <c r="C4759" s="5" t="s">
        <v>65</v>
      </c>
      <c r="D4759" s="5" t="s">
        <v>66</v>
      </c>
      <c r="E4759" s="5" t="s">
        <v>794</v>
      </c>
      <c r="F4759" s="9">
        <v>42</v>
      </c>
      <c r="G4759" s="9">
        <v>473</v>
      </c>
      <c r="H4759" s="5" t="s">
        <v>20</v>
      </c>
      <c r="I4759" s="5" t="s">
        <v>11425</v>
      </c>
      <c r="J4759" s="12" t="str">
        <f>HYPERLINK("https://www.boe.es/gazeta/dias/1804/05/25/pdfs/GMD-1804-42.pdf#page=11","Abrir facsímil")</f>
        <v>Abrir facsímil</v>
      </c>
      <c r="K4759" s="15" t="s">
        <v>22</v>
      </c>
    </row>
    <row r="4760" spans="1:11" ht="42" customHeight="1">
      <c r="A4760" s="4" t="s">
        <v>11426</v>
      </c>
      <c r="B4760" s="5" t="s">
        <v>11426</v>
      </c>
      <c r="C4760" s="5" t="s">
        <v>120</v>
      </c>
      <c r="D4760" s="5" t="s">
        <v>121</v>
      </c>
      <c r="E4760" s="5" t="s">
        <v>33</v>
      </c>
      <c r="F4760" s="9">
        <v>48</v>
      </c>
      <c r="G4760" s="9" t="s">
        <v>285</v>
      </c>
      <c r="H4760" s="5" t="s">
        <v>20</v>
      </c>
      <c r="I4760" s="5" t="s">
        <v>11427</v>
      </c>
      <c r="J4760" s="12" t="str">
        <f>HYPERLINK("https://www.boe.es/gazeta/dias/1804/06/15/pdfs/GMD-C-1804-48.pdf#page=2","Abrir facsímil")</f>
        <v>Abrir facsímil</v>
      </c>
      <c r="K4760" s="15" t="s">
        <v>22</v>
      </c>
    </row>
    <row r="4761" spans="1:11" ht="42" customHeight="1">
      <c r="A4761" s="4" t="s">
        <v>11428</v>
      </c>
      <c r="B4761" s="5" t="s">
        <v>11428</v>
      </c>
      <c r="C4761" s="5" t="s">
        <v>17</v>
      </c>
      <c r="D4761" s="5" t="s">
        <v>18</v>
      </c>
      <c r="E4761" s="5" t="s">
        <v>91</v>
      </c>
      <c r="F4761" s="9">
        <v>72</v>
      </c>
      <c r="G4761" s="9">
        <v>805</v>
      </c>
      <c r="H4761" s="5" t="s">
        <v>20</v>
      </c>
      <c r="I4761" s="5" t="s">
        <v>11429</v>
      </c>
      <c r="J4761" s="12" t="str">
        <f>HYPERLINK("https://www.boe.es/gazeta/dias/1804/09/07/pdfs/GMD-1804-72.pdf#page=7","Abrir facsímil")</f>
        <v>Abrir facsímil</v>
      </c>
      <c r="K4761" s="15" t="s">
        <v>22</v>
      </c>
    </row>
    <row r="4762" spans="1:11" ht="42" customHeight="1">
      <c r="A4762" s="4" t="s">
        <v>11430</v>
      </c>
      <c r="B4762" s="5" t="s">
        <v>11431</v>
      </c>
      <c r="C4762" s="5" t="s">
        <v>65</v>
      </c>
      <c r="D4762" s="5" t="s">
        <v>66</v>
      </c>
      <c r="E4762" s="5" t="s">
        <v>241</v>
      </c>
      <c r="F4762" s="9">
        <v>71</v>
      </c>
      <c r="G4762" s="9">
        <v>793</v>
      </c>
      <c r="H4762" s="5" t="s">
        <v>20</v>
      </c>
      <c r="I4762" s="5" t="s">
        <v>11432</v>
      </c>
      <c r="J4762" s="12" t="str">
        <f>HYPERLINK("https://www.boe.es/gazeta/dias/1804/09/04/pdfs/GMD-1804-71.pdf#page=7","Abrir facsímil")</f>
        <v>Abrir facsímil</v>
      </c>
      <c r="K4762" s="15" t="s">
        <v>22</v>
      </c>
    </row>
    <row r="4763" spans="1:11" ht="42" customHeight="1">
      <c r="A4763" s="4" t="s">
        <v>11433</v>
      </c>
      <c r="B4763" s="5" t="s">
        <v>11433</v>
      </c>
      <c r="C4763" s="5" t="s">
        <v>17</v>
      </c>
      <c r="D4763" s="5" t="s">
        <v>18</v>
      </c>
      <c r="E4763" s="5" t="s">
        <v>736</v>
      </c>
      <c r="F4763" s="9">
        <v>83</v>
      </c>
      <c r="G4763" s="9">
        <v>921</v>
      </c>
      <c r="H4763" s="5" t="s">
        <v>20</v>
      </c>
      <c r="I4763" s="5" t="s">
        <v>11434</v>
      </c>
      <c r="J4763" s="12" t="str">
        <f>HYPERLINK("https://www.boe.es/gazeta/dias/1804/10/16/pdfs/GMD-1804-83.pdf#page=11","Abrir facsímil")</f>
        <v>Abrir facsímil</v>
      </c>
      <c r="K4763" s="15" t="s">
        <v>22</v>
      </c>
    </row>
    <row r="4764" spans="1:11" ht="42" customHeight="1">
      <c r="A4764" s="4" t="s">
        <v>11435</v>
      </c>
      <c r="B4764" s="5" t="s">
        <v>11436</v>
      </c>
      <c r="C4764" s="5" t="s">
        <v>85</v>
      </c>
      <c r="D4764" s="5" t="s">
        <v>86</v>
      </c>
      <c r="E4764" s="5" t="s">
        <v>172</v>
      </c>
      <c r="F4764" s="9">
        <v>38</v>
      </c>
      <c r="G4764" s="9">
        <v>426</v>
      </c>
      <c r="H4764" s="5" t="s">
        <v>20</v>
      </c>
      <c r="I4764" s="5" t="s">
        <v>11437</v>
      </c>
      <c r="J4764" s="12" t="str">
        <f>HYPERLINK("https://www.boe.es/gazeta/dias/1804/05/11/pdfs/GMD-1804-38.pdf#page=12","Abrir facsímil")</f>
        <v>Abrir facsímil</v>
      </c>
      <c r="K4764" s="15" t="s">
        <v>22</v>
      </c>
    </row>
    <row r="4765" spans="1:11" ht="42" customHeight="1">
      <c r="A4765" s="4" t="s">
        <v>11435</v>
      </c>
      <c r="B4765" s="5" t="s">
        <v>11436</v>
      </c>
      <c r="C4765" s="5" t="s">
        <v>17</v>
      </c>
      <c r="D4765" s="5" t="s">
        <v>18</v>
      </c>
      <c r="E4765" s="5" t="s">
        <v>19</v>
      </c>
      <c r="F4765" s="9">
        <v>60</v>
      </c>
      <c r="G4765" s="9">
        <v>669</v>
      </c>
      <c r="H4765" s="5" t="s">
        <v>20</v>
      </c>
      <c r="I4765" s="5" t="s">
        <v>11438</v>
      </c>
      <c r="J4765" s="12" t="str">
        <f>HYPERLINK("https://www.boe.es/gazeta/dias/1804/07/27/pdfs/GMD-1804-60.pdf#page=11","Abrir facsímil")</f>
        <v>Abrir facsímil</v>
      </c>
      <c r="K4765" s="15" t="s">
        <v>22</v>
      </c>
    </row>
    <row r="4766" spans="1:11" ht="42" customHeight="1">
      <c r="A4766" s="4" t="s">
        <v>11439</v>
      </c>
      <c r="B4766" s="5" t="s">
        <v>11440</v>
      </c>
      <c r="C4766" s="5" t="s">
        <v>65</v>
      </c>
      <c r="D4766" s="5" t="s">
        <v>66</v>
      </c>
      <c r="E4766" s="5" t="s">
        <v>41</v>
      </c>
      <c r="F4766" s="9">
        <v>24</v>
      </c>
      <c r="G4766" s="9">
        <v>278</v>
      </c>
      <c r="H4766" s="5" t="s">
        <v>20</v>
      </c>
      <c r="I4766" s="5" t="s">
        <v>11441</v>
      </c>
      <c r="J4766" s="12" t="str">
        <f>HYPERLINK("https://www.boe.es/gazeta/dias/1804/03/23/pdfs/GMD-1804-24.pdf#page=12","Abrir facsímil")</f>
        <v>Abrir facsímil</v>
      </c>
      <c r="K4766" s="15" t="s">
        <v>22</v>
      </c>
    </row>
    <row r="4767" spans="1:11" ht="42" customHeight="1">
      <c r="A4767" s="4" t="s">
        <v>11442</v>
      </c>
      <c r="B4767" s="5" t="s">
        <v>11443</v>
      </c>
      <c r="C4767" s="5" t="s">
        <v>65</v>
      </c>
      <c r="D4767" s="5" t="s">
        <v>66</v>
      </c>
      <c r="E4767" s="5" t="s">
        <v>678</v>
      </c>
      <c r="F4767" s="9">
        <v>104</v>
      </c>
      <c r="G4767" s="9">
        <v>1162</v>
      </c>
      <c r="H4767" s="5" t="s">
        <v>20</v>
      </c>
      <c r="I4767" s="5" t="s">
        <v>11444</v>
      </c>
      <c r="J4767" s="12" t="str">
        <f>HYPERLINK("https://www.boe.es/gazeta/dias/1804/12/28/pdfs/GMD-1804-104.pdf#page=10","Abrir facsímil")</f>
        <v>Abrir facsímil</v>
      </c>
      <c r="K4767" s="15" t="s">
        <v>22</v>
      </c>
    </row>
    <row r="4768" spans="1:11" ht="42" customHeight="1">
      <c r="A4768" s="4" t="s">
        <v>11445</v>
      </c>
      <c r="B4768" s="5" t="s">
        <v>11446</v>
      </c>
      <c r="C4768" s="5" t="s">
        <v>85</v>
      </c>
      <c r="D4768" s="5" t="s">
        <v>86</v>
      </c>
      <c r="E4768" s="5" t="s">
        <v>1278</v>
      </c>
      <c r="F4768" s="9">
        <v>37</v>
      </c>
      <c r="G4768" s="9">
        <v>414</v>
      </c>
      <c r="H4768" s="5" t="s">
        <v>20</v>
      </c>
      <c r="I4768" s="5" t="s">
        <v>11447</v>
      </c>
      <c r="J4768" s="12" t="str">
        <f>HYPERLINK("https://www.boe.es/gazeta/dias/1804/05/08/pdfs/GMD-1804-37.pdf#page=12","Abrir facsímil")</f>
        <v>Abrir facsímil</v>
      </c>
      <c r="K4768" s="15" t="s">
        <v>22</v>
      </c>
    </row>
    <row r="4769" spans="1:11" ht="42" customHeight="1">
      <c r="A4769" s="4" t="s">
        <v>11448</v>
      </c>
      <c r="B4769" s="5" t="s">
        <v>11449</v>
      </c>
      <c r="C4769" s="5" t="s">
        <v>85</v>
      </c>
      <c r="D4769" s="5" t="s">
        <v>86</v>
      </c>
      <c r="E4769" s="5" t="s">
        <v>339</v>
      </c>
      <c r="F4769" s="9">
        <v>94</v>
      </c>
      <c r="G4769" s="9">
        <v>1040</v>
      </c>
      <c r="H4769" s="5" t="s">
        <v>20</v>
      </c>
      <c r="I4769" s="5" t="s">
        <v>11450</v>
      </c>
      <c r="J4769" s="12" t="str">
        <f>HYPERLINK("https://www.boe.es/gazeta/dias/1804/11/23/pdfs/GMD-1804-94.pdf#page=8","Abrir facsímil")</f>
        <v>Abrir facsímil</v>
      </c>
      <c r="K4769" s="15" t="s">
        <v>22</v>
      </c>
    </row>
    <row r="4770" spans="1:11" ht="42" customHeight="1">
      <c r="A4770" s="4" t="s">
        <v>11451</v>
      </c>
      <c r="B4770" s="5" t="s">
        <v>11452</v>
      </c>
      <c r="C4770" s="5" t="s">
        <v>198</v>
      </c>
      <c r="D4770" s="5" t="s">
        <v>66</v>
      </c>
      <c r="E4770" s="5" t="s">
        <v>87</v>
      </c>
      <c r="F4770" s="9">
        <v>9</v>
      </c>
      <c r="G4770" s="9">
        <v>99</v>
      </c>
      <c r="H4770" s="5" t="s">
        <v>20</v>
      </c>
      <c r="I4770" s="5" t="s">
        <v>11453</v>
      </c>
      <c r="J4770" s="12" t="str">
        <f>HYPERLINK("https://www.boe.es/gazeta/dias/1804/01/31/pdfs/GMD-1804-9.pdf#page=11","Abrir facsímil")</f>
        <v>Abrir facsímil</v>
      </c>
      <c r="K4770" s="15" t="s">
        <v>22</v>
      </c>
    </row>
    <row r="4771" spans="1:11" ht="42" customHeight="1">
      <c r="A4771" s="4" t="s">
        <v>11451</v>
      </c>
      <c r="B4771" s="5" t="s">
        <v>11452</v>
      </c>
      <c r="C4771" s="5" t="s">
        <v>198</v>
      </c>
      <c r="D4771" s="5" t="s">
        <v>66</v>
      </c>
      <c r="E4771" s="5" t="s">
        <v>538</v>
      </c>
      <c r="F4771" s="9">
        <v>27</v>
      </c>
      <c r="G4771" s="9">
        <v>301</v>
      </c>
      <c r="H4771" s="5" t="s">
        <v>20</v>
      </c>
      <c r="I4771" s="5" t="s">
        <v>11454</v>
      </c>
      <c r="J4771" s="12" t="str">
        <f>HYPERLINK("https://www.boe.es/gazeta/dias/1804/04/03/pdfs/GMD-1804-27.pdf#page=7","Abrir facsímil")</f>
        <v>Abrir facsímil</v>
      </c>
      <c r="K4771" s="15" t="s">
        <v>22</v>
      </c>
    </row>
    <row r="4772" spans="1:11" ht="42" customHeight="1">
      <c r="A4772" s="4" t="s">
        <v>11451</v>
      </c>
      <c r="B4772" s="5" t="s">
        <v>11452</v>
      </c>
      <c r="C4772" s="5" t="s">
        <v>27</v>
      </c>
      <c r="D4772" s="5" t="s">
        <v>28</v>
      </c>
      <c r="E4772" s="5" t="s">
        <v>272</v>
      </c>
      <c r="F4772" s="9">
        <v>30</v>
      </c>
      <c r="G4772" s="9">
        <v>333</v>
      </c>
      <c r="H4772" s="5" t="s">
        <v>20</v>
      </c>
      <c r="I4772" s="5" t="s">
        <v>11455</v>
      </c>
      <c r="J4772" s="12" t="str">
        <f>HYPERLINK("https://www.boe.es/gazeta/dias/1804/04/13/pdfs/GMD-1804-30.pdf#page=11","Abrir facsímil")</f>
        <v>Abrir facsímil</v>
      </c>
      <c r="K4772" s="15" t="s">
        <v>22</v>
      </c>
    </row>
    <row r="4773" spans="1:11" ht="42" customHeight="1">
      <c r="A4773" s="4" t="s">
        <v>11451</v>
      </c>
      <c r="B4773" s="5" t="s">
        <v>11452</v>
      </c>
      <c r="C4773" s="5" t="s">
        <v>198</v>
      </c>
      <c r="D4773" s="5" t="s">
        <v>66</v>
      </c>
      <c r="E4773" s="5" t="s">
        <v>666</v>
      </c>
      <c r="F4773" s="9">
        <v>57</v>
      </c>
      <c r="G4773" s="9">
        <v>634</v>
      </c>
      <c r="H4773" s="5" t="s">
        <v>20</v>
      </c>
      <c r="I4773" s="5" t="s">
        <v>11456</v>
      </c>
      <c r="J4773" s="12" t="str">
        <f>HYPERLINK("https://www.boe.es/gazeta/dias/1804/07/17/pdfs/GMD-1804-57.pdf#page=12","Abrir facsímil")</f>
        <v>Abrir facsímil</v>
      </c>
      <c r="K4773" s="15" t="s">
        <v>22</v>
      </c>
    </row>
    <row r="4774" spans="1:11" ht="42" customHeight="1">
      <c r="A4774" s="4" t="s">
        <v>11451</v>
      </c>
      <c r="B4774" s="5" t="s">
        <v>11452</v>
      </c>
      <c r="C4774" s="5" t="s">
        <v>198</v>
      </c>
      <c r="D4774" s="5" t="s">
        <v>66</v>
      </c>
      <c r="E4774" s="5" t="s">
        <v>547</v>
      </c>
      <c r="F4774" s="9">
        <v>68</v>
      </c>
      <c r="G4774" s="9">
        <v>765</v>
      </c>
      <c r="H4774" s="5" t="s">
        <v>20</v>
      </c>
      <c r="I4774" s="5" t="s">
        <v>11457</v>
      </c>
      <c r="J4774" s="12" t="str">
        <f>HYPERLINK("https://www.boe.es/gazeta/dias/1804/08/24/pdfs/GMD-1804-68.pdf#page=11","Abrir facsímil")</f>
        <v>Abrir facsímil</v>
      </c>
      <c r="K4774" s="15" t="s">
        <v>22</v>
      </c>
    </row>
    <row r="4775" spans="1:11" ht="42" customHeight="1">
      <c r="A4775" s="4" t="s">
        <v>11451</v>
      </c>
      <c r="B4775" s="5" t="s">
        <v>11452</v>
      </c>
      <c r="C4775" s="5" t="s">
        <v>65</v>
      </c>
      <c r="D4775" s="5" t="s">
        <v>66</v>
      </c>
      <c r="E4775" s="5" t="s">
        <v>212</v>
      </c>
      <c r="F4775" s="9">
        <v>89</v>
      </c>
      <c r="G4775" s="9">
        <v>991</v>
      </c>
      <c r="H4775" s="5" t="s">
        <v>20</v>
      </c>
      <c r="I4775" s="5" t="s">
        <v>11458</v>
      </c>
      <c r="J4775" s="12" t="str">
        <f>HYPERLINK("https://www.boe.es/gazeta/dias/1804/11/06/pdfs/GMD-1804-89.pdf#page=11","Abrir facsímil")</f>
        <v>Abrir facsímil</v>
      </c>
      <c r="K4775" s="15" t="s">
        <v>22</v>
      </c>
    </row>
    <row r="4776" spans="1:11" ht="42" customHeight="1">
      <c r="A4776" s="4" t="s">
        <v>11451</v>
      </c>
      <c r="B4776" s="5" t="s">
        <v>11452</v>
      </c>
      <c r="C4776" s="5" t="s">
        <v>27</v>
      </c>
      <c r="D4776" s="5" t="s">
        <v>28</v>
      </c>
      <c r="E4776" s="5" t="s">
        <v>950</v>
      </c>
      <c r="F4776" s="9">
        <v>90</v>
      </c>
      <c r="G4776" s="9">
        <v>1000</v>
      </c>
      <c r="H4776" s="5" t="s">
        <v>20</v>
      </c>
      <c r="I4776" s="5" t="s">
        <v>11459</v>
      </c>
      <c r="J4776" s="12" t="str">
        <f>HYPERLINK("https://www.boe.es/gazeta/dias/1804/11/09/pdfs/GMD-1804-90.pdf#page=8","Abrir facsímil")</f>
        <v>Abrir facsímil</v>
      </c>
      <c r="K4776" s="15" t="s">
        <v>22</v>
      </c>
    </row>
    <row r="4777" spans="1:11" ht="42" customHeight="1">
      <c r="A4777" s="4" t="s">
        <v>11451</v>
      </c>
      <c r="B4777" s="5" t="s">
        <v>11452</v>
      </c>
      <c r="C4777" s="5" t="s">
        <v>27</v>
      </c>
      <c r="D4777" s="5" t="s">
        <v>28</v>
      </c>
      <c r="E4777" s="5" t="s">
        <v>308</v>
      </c>
      <c r="F4777" s="9">
        <v>96</v>
      </c>
      <c r="G4777" s="9">
        <v>1072</v>
      </c>
      <c r="H4777" s="5" t="s">
        <v>20</v>
      </c>
      <c r="I4777" s="5" t="s">
        <v>11460</v>
      </c>
      <c r="J4777" s="12" t="str">
        <f>HYPERLINK("https://www.boe.es/gazeta/dias/1804/11/30/pdfs/GMD-1804-96.pdf#page=12","Abrir facsímil")</f>
        <v>Abrir facsímil</v>
      </c>
      <c r="K4777" s="15" t="s">
        <v>22</v>
      </c>
    </row>
    <row r="4778" spans="1:11" ht="42" customHeight="1">
      <c r="A4778" s="4" t="s">
        <v>11451</v>
      </c>
      <c r="B4778" s="5" t="s">
        <v>11452</v>
      </c>
      <c r="C4778" s="5" t="s">
        <v>27</v>
      </c>
      <c r="D4778" s="5" t="s">
        <v>28</v>
      </c>
      <c r="E4778" s="5" t="s">
        <v>678</v>
      </c>
      <c r="F4778" s="9">
        <v>104</v>
      </c>
      <c r="G4778" s="9">
        <v>1163</v>
      </c>
      <c r="H4778" s="5" t="s">
        <v>20</v>
      </c>
      <c r="I4778" s="5" t="s">
        <v>11461</v>
      </c>
      <c r="J4778" s="12" t="str">
        <f>HYPERLINK("https://www.boe.es/gazeta/dias/1804/12/28/pdfs/GMD-1804-104.pdf#page=11","Abrir facsímil")</f>
        <v>Abrir facsímil</v>
      </c>
      <c r="K4778" s="15" t="s">
        <v>22</v>
      </c>
    </row>
    <row r="4779" spans="1:11" ht="42" customHeight="1">
      <c r="A4779" s="4" t="s">
        <v>11462</v>
      </c>
      <c r="B4779" s="5" t="s">
        <v>11463</v>
      </c>
      <c r="C4779" s="5" t="s">
        <v>27</v>
      </c>
      <c r="D4779" s="5" t="s">
        <v>28</v>
      </c>
      <c r="E4779" s="5" t="s">
        <v>245</v>
      </c>
      <c r="F4779" s="9">
        <v>6</v>
      </c>
      <c r="G4779" s="9">
        <v>58</v>
      </c>
      <c r="H4779" s="5" t="s">
        <v>20</v>
      </c>
      <c r="I4779" s="5" t="s">
        <v>11464</v>
      </c>
      <c r="J4779" s="12" t="str">
        <f>HYPERLINK("https://www.boe.es/gazeta/dias/1804/01/20/pdfs/GMD-1804-6.pdf#page=10","Abrir facsímil")</f>
        <v>Abrir facsímil</v>
      </c>
      <c r="K4779" s="15" t="s">
        <v>22</v>
      </c>
    </row>
    <row r="4780" spans="1:11" ht="42" customHeight="1">
      <c r="A4780" s="4" t="s">
        <v>11465</v>
      </c>
      <c r="B4780" s="5" t="s">
        <v>11466</v>
      </c>
      <c r="C4780" s="5" t="s">
        <v>17</v>
      </c>
      <c r="D4780" s="5" t="s">
        <v>18</v>
      </c>
      <c r="E4780" s="5" t="s">
        <v>670</v>
      </c>
      <c r="F4780" s="9">
        <v>41</v>
      </c>
      <c r="G4780" s="9">
        <v>462</v>
      </c>
      <c r="H4780" s="5" t="s">
        <v>20</v>
      </c>
      <c r="I4780" s="5" t="s">
        <v>11467</v>
      </c>
      <c r="J4780" s="12" t="str">
        <f>HYPERLINK("https://www.boe.es/gazeta/dias/1804/05/22/pdfs/GMD-1804-41.pdf#page=12","Abrir facsímil")</f>
        <v>Abrir facsímil</v>
      </c>
      <c r="K4780" s="15" t="s">
        <v>22</v>
      </c>
    </row>
    <row r="4781" spans="1:11" ht="42" customHeight="1">
      <c r="A4781" s="4" t="s">
        <v>11468</v>
      </c>
      <c r="B4781" s="5" t="s">
        <v>11469</v>
      </c>
      <c r="C4781" s="5" t="s">
        <v>65</v>
      </c>
      <c r="D4781" s="5" t="s">
        <v>66</v>
      </c>
      <c r="E4781" s="5" t="s">
        <v>251</v>
      </c>
      <c r="F4781" s="9">
        <v>79</v>
      </c>
      <c r="G4781" s="9">
        <v>879</v>
      </c>
      <c r="H4781" s="5" t="s">
        <v>20</v>
      </c>
      <c r="I4781" s="5" t="s">
        <v>11470</v>
      </c>
      <c r="J4781" s="12" t="str">
        <f>HYPERLINK("https://www.boe.es/gazeta/dias/1804/10/02/pdfs/GMD-1804-79.pdf#page=9","Abrir facsímil")</f>
        <v>Abrir facsímil</v>
      </c>
      <c r="K4781" s="15" t="s">
        <v>22</v>
      </c>
    </row>
    <row r="4782" spans="1:11" ht="42" customHeight="1">
      <c r="A4782" s="4" t="s">
        <v>11471</v>
      </c>
      <c r="B4782" s="5" t="s">
        <v>11472</v>
      </c>
      <c r="C4782" s="5" t="s">
        <v>17</v>
      </c>
      <c r="D4782" s="5" t="s">
        <v>18</v>
      </c>
      <c r="E4782" s="5" t="s">
        <v>308</v>
      </c>
      <c r="F4782" s="9">
        <v>96</v>
      </c>
      <c r="G4782" s="9">
        <v>1066</v>
      </c>
      <c r="H4782" s="5" t="s">
        <v>20</v>
      </c>
      <c r="I4782" s="5" t="s">
        <v>11473</v>
      </c>
      <c r="J4782" s="12" t="str">
        <f>HYPERLINK("https://www.boe.es/gazeta/dias/1804/11/30/pdfs/GMD-1804-96.pdf#page=6","Abrir facsímil")</f>
        <v>Abrir facsímil</v>
      </c>
      <c r="K4782" s="15" t="s">
        <v>22</v>
      </c>
    </row>
    <row r="4783" spans="1:11" ht="42" customHeight="1">
      <c r="A4783" s="4" t="s">
        <v>11474</v>
      </c>
      <c r="B4783" s="5" t="s">
        <v>11475</v>
      </c>
      <c r="C4783" s="5" t="s">
        <v>27</v>
      </c>
      <c r="D4783" s="5" t="s">
        <v>28</v>
      </c>
      <c r="E4783" s="5" t="s">
        <v>794</v>
      </c>
      <c r="F4783" s="9">
        <v>42</v>
      </c>
      <c r="G4783" s="9">
        <v>473</v>
      </c>
      <c r="H4783" s="5" t="s">
        <v>20</v>
      </c>
      <c r="I4783" s="5" t="s">
        <v>11476</v>
      </c>
      <c r="J4783" s="12" t="str">
        <f>HYPERLINK("https://www.boe.es/gazeta/dias/1804/05/25/pdfs/GMD-1804-42.pdf#page=11","Abrir facsímil")</f>
        <v>Abrir facsímil</v>
      </c>
      <c r="K4783" s="15" t="s">
        <v>22</v>
      </c>
    </row>
    <row r="4784" spans="1:11" ht="42" customHeight="1">
      <c r="A4784" s="4" t="s">
        <v>11477</v>
      </c>
      <c r="B4784" s="5" t="s">
        <v>11478</v>
      </c>
      <c r="C4784" s="5" t="s">
        <v>17</v>
      </c>
      <c r="D4784" s="5" t="s">
        <v>18</v>
      </c>
      <c r="E4784" s="5" t="s">
        <v>71</v>
      </c>
      <c r="F4784" s="9">
        <v>99</v>
      </c>
      <c r="G4784" s="9">
        <v>1106</v>
      </c>
      <c r="H4784" s="5" t="s">
        <v>20</v>
      </c>
      <c r="I4784" s="5" t="s">
        <v>11479</v>
      </c>
      <c r="J4784" s="12" t="str">
        <f>HYPERLINK("https://www.boe.es/gazeta/dias/1804/12/11/pdfs/GMD-1804-99.pdf#page=6","Abrir facsímil")</f>
        <v>Abrir facsímil</v>
      </c>
      <c r="K4784" s="15" t="s">
        <v>22</v>
      </c>
    </row>
    <row r="4785" spans="1:11" ht="42" customHeight="1">
      <c r="A4785" s="4" t="s">
        <v>11480</v>
      </c>
      <c r="B4785" s="5" t="s">
        <v>11481</v>
      </c>
      <c r="C4785" s="5" t="s">
        <v>27</v>
      </c>
      <c r="D4785" s="5" t="s">
        <v>28</v>
      </c>
      <c r="E4785" s="5" t="s">
        <v>670</v>
      </c>
      <c r="F4785" s="9">
        <v>41</v>
      </c>
      <c r="G4785" s="9">
        <v>458</v>
      </c>
      <c r="H4785" s="5" t="s">
        <v>20</v>
      </c>
      <c r="I4785" s="5" t="s">
        <v>11482</v>
      </c>
      <c r="J4785" s="12" t="str">
        <f>HYPERLINK("https://www.boe.es/gazeta/dias/1804/05/22/pdfs/GMD-1804-41.pdf#page=8","Abrir facsímil")</f>
        <v>Abrir facsímil</v>
      </c>
      <c r="K4785" s="15" t="s">
        <v>22</v>
      </c>
    </row>
    <row r="4786" spans="1:11" ht="42" customHeight="1">
      <c r="A4786" s="4" t="s">
        <v>11483</v>
      </c>
      <c r="B4786" s="5" t="s">
        <v>11484</v>
      </c>
      <c r="C4786" s="5" t="s">
        <v>27</v>
      </c>
      <c r="D4786" s="5" t="s">
        <v>28</v>
      </c>
      <c r="E4786" s="5" t="s">
        <v>308</v>
      </c>
      <c r="F4786" s="9">
        <v>96</v>
      </c>
      <c r="G4786" s="9">
        <v>1067</v>
      </c>
      <c r="H4786" s="5" t="s">
        <v>20</v>
      </c>
      <c r="I4786" s="5" t="s">
        <v>11485</v>
      </c>
      <c r="J4786" s="12" t="str">
        <f>HYPERLINK("https://www.boe.es/gazeta/dias/1804/11/30/pdfs/GMD-1804-96.pdf#page=7","Abrir facsímil")</f>
        <v>Abrir facsímil</v>
      </c>
      <c r="K4786" s="15" t="s">
        <v>22</v>
      </c>
    </row>
    <row r="4787" spans="1:11" ht="42" customHeight="1">
      <c r="A4787" s="4" t="s">
        <v>11486</v>
      </c>
      <c r="B4787" s="5" t="s">
        <v>11487</v>
      </c>
      <c r="C4787" s="5" t="s">
        <v>27</v>
      </c>
      <c r="D4787" s="5" t="s">
        <v>28</v>
      </c>
      <c r="E4787" s="5" t="s">
        <v>497</v>
      </c>
      <c r="F4787" s="9">
        <v>25</v>
      </c>
      <c r="G4787" s="9">
        <v>285</v>
      </c>
      <c r="H4787" s="5" t="s">
        <v>20</v>
      </c>
      <c r="I4787" s="5" t="s">
        <v>11488</v>
      </c>
      <c r="J4787" s="12" t="str">
        <f>HYPERLINK("https://www.boe.es/gazeta/dias/1804/03/27/pdfs/GMD-1804-25.pdf#page=7","Abrir facsímil")</f>
        <v>Abrir facsímil</v>
      </c>
      <c r="K4787" s="15" t="s">
        <v>22</v>
      </c>
    </row>
    <row r="4788" spans="1:11" ht="42" customHeight="1">
      <c r="A4788" s="4" t="s">
        <v>11489</v>
      </c>
      <c r="B4788" s="5" t="s">
        <v>11490</v>
      </c>
      <c r="C4788" s="5" t="s">
        <v>85</v>
      </c>
      <c r="D4788" s="5" t="s">
        <v>86</v>
      </c>
      <c r="E4788" s="5" t="s">
        <v>547</v>
      </c>
      <c r="F4788" s="9">
        <v>68</v>
      </c>
      <c r="G4788" s="9">
        <v>765</v>
      </c>
      <c r="H4788" s="5" t="s">
        <v>20</v>
      </c>
      <c r="I4788" s="5" t="s">
        <v>11491</v>
      </c>
      <c r="J4788" s="12" t="str">
        <f>HYPERLINK("https://www.boe.es/gazeta/dias/1804/08/24/pdfs/GMD-1804-68.pdf#page=11","Abrir facsímil")</f>
        <v>Abrir facsímil</v>
      </c>
      <c r="K4788" s="15" t="s">
        <v>22</v>
      </c>
    </row>
    <row r="4789" spans="1:11" ht="42" customHeight="1">
      <c r="A4789" s="4" t="s">
        <v>11492</v>
      </c>
      <c r="B4789" s="5" t="s">
        <v>11493</v>
      </c>
      <c r="C4789" s="5" t="s">
        <v>27</v>
      </c>
      <c r="D4789" s="5" t="s">
        <v>28</v>
      </c>
      <c r="E4789" s="5" t="s">
        <v>109</v>
      </c>
      <c r="F4789" s="9">
        <v>35</v>
      </c>
      <c r="G4789" s="9">
        <v>387</v>
      </c>
      <c r="H4789" s="5" t="s">
        <v>20</v>
      </c>
      <c r="I4789" s="5" t="s">
        <v>11494</v>
      </c>
      <c r="J4789" s="12" t="str">
        <f>HYPERLINK("https://www.boe.es/gazeta/dias/1804/05/01/pdfs/GMD-1804-35.pdf#page=9","Abrir facsímil")</f>
        <v>Abrir facsímil</v>
      </c>
      <c r="K4789" s="15" t="s">
        <v>22</v>
      </c>
    </row>
    <row r="4790" spans="1:11" ht="42" customHeight="1">
      <c r="A4790" s="4" t="s">
        <v>11495</v>
      </c>
      <c r="B4790" s="5" t="s">
        <v>11495</v>
      </c>
      <c r="C4790" s="5" t="s">
        <v>27</v>
      </c>
      <c r="D4790" s="5" t="s">
        <v>28</v>
      </c>
      <c r="E4790" s="5" t="s">
        <v>163</v>
      </c>
      <c r="F4790" s="9">
        <v>70</v>
      </c>
      <c r="G4790" s="9">
        <v>779</v>
      </c>
      <c r="H4790" s="5" t="s">
        <v>20</v>
      </c>
      <c r="I4790" s="5" t="s">
        <v>11496</v>
      </c>
      <c r="J4790" s="12" t="str">
        <f>HYPERLINK("https://www.boe.es/gazeta/dias/1804/08/31/pdfs/GMD-1804-70.pdf#page=1","Abrir facsímil")</f>
        <v>Abrir facsímil</v>
      </c>
      <c r="K4790" s="15" t="s">
        <v>22</v>
      </c>
    </row>
    <row r="4791" spans="1:11" ht="42" customHeight="1">
      <c r="A4791" s="4" t="s">
        <v>11497</v>
      </c>
      <c r="B4791" s="5" t="s">
        <v>11498</v>
      </c>
      <c r="C4791" s="5" t="s">
        <v>27</v>
      </c>
      <c r="D4791" s="5" t="s">
        <v>28</v>
      </c>
      <c r="E4791" s="5" t="s">
        <v>234</v>
      </c>
      <c r="F4791" s="9">
        <v>86</v>
      </c>
      <c r="G4791" s="9">
        <v>948</v>
      </c>
      <c r="H4791" s="5" t="s">
        <v>20</v>
      </c>
      <c r="I4791" s="5" t="s">
        <v>11499</v>
      </c>
      <c r="J4791" s="12" t="str">
        <f>HYPERLINK("https://www.boe.es/gazeta/dias/1804/10/26/pdfs/GMD-1804-86.pdf#page=6","Abrir facsímil")</f>
        <v>Abrir facsímil</v>
      </c>
      <c r="K4791" s="15" t="s">
        <v>22</v>
      </c>
    </row>
    <row r="4792" spans="1:11" ht="42" customHeight="1">
      <c r="A4792" s="4" t="s">
        <v>11500</v>
      </c>
      <c r="B4792" s="5" t="s">
        <v>11500</v>
      </c>
      <c r="C4792" s="5" t="s">
        <v>27</v>
      </c>
      <c r="D4792" s="5" t="s">
        <v>28</v>
      </c>
      <c r="E4792" s="5" t="s">
        <v>23</v>
      </c>
      <c r="F4792" s="9">
        <v>91</v>
      </c>
      <c r="G4792" s="9">
        <v>1009</v>
      </c>
      <c r="H4792" s="5" t="s">
        <v>20</v>
      </c>
      <c r="I4792" s="5" t="s">
        <v>11501</v>
      </c>
      <c r="J4792" s="12" t="str">
        <f>HYPERLINK("https://www.boe.es/gazeta/dias/1804/11/13/pdfs/GMD-1804-91.pdf#page=9","Abrir facsímil")</f>
        <v>Abrir facsímil</v>
      </c>
      <c r="K4792" s="15" t="s">
        <v>22</v>
      </c>
    </row>
    <row r="4793" spans="1:11" ht="42" customHeight="1">
      <c r="A4793" s="4" t="s">
        <v>11502</v>
      </c>
      <c r="B4793" s="5" t="s">
        <v>11503</v>
      </c>
      <c r="C4793" s="5" t="s">
        <v>57</v>
      </c>
      <c r="D4793" s="5" t="s">
        <v>58</v>
      </c>
      <c r="E4793" s="5" t="s">
        <v>308</v>
      </c>
      <c r="F4793" s="9">
        <v>96</v>
      </c>
      <c r="G4793" s="9">
        <v>1064</v>
      </c>
      <c r="H4793" s="5" t="s">
        <v>20</v>
      </c>
      <c r="I4793" s="5" t="s">
        <v>11504</v>
      </c>
      <c r="J4793" s="12" t="str">
        <f>HYPERLINK("https://www.boe.es/gazeta/dias/1804/11/30/pdfs/GMD-1804-96.pdf#page=4","Abrir facsímil")</f>
        <v>Abrir facsímil</v>
      </c>
      <c r="K4793" s="15" t="s">
        <v>22</v>
      </c>
    </row>
    <row r="4794" spans="1:11" ht="42" customHeight="1">
      <c r="A4794" s="4" t="s">
        <v>11505</v>
      </c>
      <c r="B4794" s="5" t="s">
        <v>11506</v>
      </c>
      <c r="C4794" s="5" t="s">
        <v>27</v>
      </c>
      <c r="D4794" s="5" t="s">
        <v>28</v>
      </c>
      <c r="E4794" s="5" t="s">
        <v>398</v>
      </c>
      <c r="F4794" s="9">
        <v>22</v>
      </c>
      <c r="G4794" s="9">
        <v>244</v>
      </c>
      <c r="H4794" s="5" t="s">
        <v>20</v>
      </c>
      <c r="I4794" s="5" t="s">
        <v>11507</v>
      </c>
      <c r="J4794" s="12" t="str">
        <f>HYPERLINK("https://www.boe.es/gazeta/dias/1804/03/16/pdfs/GMD-1804-22.pdf#page=8","Abrir facsímil")</f>
        <v>Abrir facsímil</v>
      </c>
      <c r="K4794" s="15" t="s">
        <v>22</v>
      </c>
    </row>
    <row r="4795" spans="1:11" ht="42" customHeight="1">
      <c r="A4795" s="4" t="s">
        <v>11508</v>
      </c>
      <c r="B4795" s="5" t="s">
        <v>11509</v>
      </c>
      <c r="C4795" s="5" t="s">
        <v>17</v>
      </c>
      <c r="D4795" s="5" t="s">
        <v>18</v>
      </c>
      <c r="E4795" s="5" t="s">
        <v>623</v>
      </c>
      <c r="F4795" s="9">
        <v>51</v>
      </c>
      <c r="G4795" s="9">
        <v>565</v>
      </c>
      <c r="H4795" s="5" t="s">
        <v>20</v>
      </c>
      <c r="I4795" s="5" t="s">
        <v>11510</v>
      </c>
      <c r="J4795" s="12" t="str">
        <f>HYPERLINK("https://www.boe.es/gazeta/dias/1804/06/26/pdfs/GMD-1804-51.pdf#page=11","Abrir facsímil")</f>
        <v>Abrir facsímil</v>
      </c>
      <c r="K4795" s="15" t="s">
        <v>22</v>
      </c>
    </row>
    <row r="4796" spans="1:11" ht="42" customHeight="1">
      <c r="A4796" s="4" t="s">
        <v>11511</v>
      </c>
      <c r="B4796" s="5" t="s">
        <v>11511</v>
      </c>
      <c r="C4796" s="5" t="s">
        <v>262</v>
      </c>
      <c r="D4796" s="5" t="s">
        <v>263</v>
      </c>
      <c r="E4796" s="5" t="s">
        <v>241</v>
      </c>
      <c r="F4796" s="9">
        <v>71</v>
      </c>
      <c r="G4796" s="9">
        <v>795</v>
      </c>
      <c r="H4796" s="5" t="s">
        <v>20</v>
      </c>
      <c r="I4796" s="5" t="s">
        <v>11512</v>
      </c>
      <c r="J4796" s="12" t="str">
        <f>HYPERLINK("https://www.boe.es/gazeta/dias/1804/09/04/pdfs/GMD-C-1804-71.pdf#page=1","Abrir facsímil")</f>
        <v>Abrir facsímil</v>
      </c>
      <c r="K4796" s="15" t="s">
        <v>22</v>
      </c>
    </row>
    <row r="4797" spans="1:11" ht="42" customHeight="1">
      <c r="A4797" s="4" t="s">
        <v>11513</v>
      </c>
      <c r="B4797" s="5" t="s">
        <v>11514</v>
      </c>
      <c r="C4797" s="5" t="s">
        <v>27</v>
      </c>
      <c r="D4797" s="5" t="s">
        <v>28</v>
      </c>
      <c r="E4797" s="5" t="s">
        <v>77</v>
      </c>
      <c r="F4797" s="9">
        <v>32</v>
      </c>
      <c r="G4797" s="9">
        <v>348</v>
      </c>
      <c r="H4797" s="5" t="s">
        <v>20</v>
      </c>
      <c r="I4797" s="5" t="s">
        <v>11515</v>
      </c>
      <c r="J4797" s="12" t="str">
        <f>HYPERLINK("https://www.boe.es/gazeta/dias/1804/04/20/pdfs/GMD-1804-32.pdf#page=2","Abrir facsímil")</f>
        <v>Abrir facsímil</v>
      </c>
      <c r="K4797" s="15" t="s">
        <v>22</v>
      </c>
    </row>
    <row r="4798" spans="1:11" ht="42" customHeight="1">
      <c r="A4798" s="4" t="s">
        <v>11516</v>
      </c>
      <c r="B4798" s="5" t="s">
        <v>11517</v>
      </c>
      <c r="C4798" s="5" t="s">
        <v>57</v>
      </c>
      <c r="D4798" s="5" t="s">
        <v>58</v>
      </c>
      <c r="E4798" s="5" t="s">
        <v>542</v>
      </c>
      <c r="F4798" s="9">
        <v>54</v>
      </c>
      <c r="G4798" s="9">
        <v>600</v>
      </c>
      <c r="H4798" s="5" t="s">
        <v>20</v>
      </c>
      <c r="I4798" s="5" t="s">
        <v>11518</v>
      </c>
      <c r="J4798" s="12" t="str">
        <f>HYPERLINK("https://www.boe.es/gazeta/dias/1804/07/06/pdfs/GMD-1804-54.pdf#page=6","Abrir facsímil")</f>
        <v>Abrir facsímil</v>
      </c>
      <c r="K4798" s="15" t="s">
        <v>22</v>
      </c>
    </row>
    <row r="4799" spans="1:11" ht="42" customHeight="1">
      <c r="A4799" s="4" t="s">
        <v>11519</v>
      </c>
      <c r="B4799" s="5" t="s">
        <v>11520</v>
      </c>
      <c r="C4799" s="5" t="s">
        <v>85</v>
      </c>
      <c r="D4799" s="5" t="s">
        <v>86</v>
      </c>
      <c r="E4799" s="5" t="s">
        <v>199</v>
      </c>
      <c r="F4799" s="9">
        <v>46</v>
      </c>
      <c r="G4799" s="9">
        <v>506</v>
      </c>
      <c r="H4799" s="5" t="s">
        <v>20</v>
      </c>
      <c r="I4799" s="5" t="s">
        <v>11521</v>
      </c>
      <c r="J4799" s="12" t="str">
        <f>HYPERLINK("https://www.boe.es/gazeta/dias/1804/06/08/pdfs/GMD-1804-46.pdf#page=4","Abrir facsímil")</f>
        <v>Abrir facsímil</v>
      </c>
      <c r="K4799" s="15" t="s">
        <v>22</v>
      </c>
    </row>
    <row r="4800" spans="1:11" ht="42" customHeight="1">
      <c r="A4800" s="4" t="s">
        <v>11522</v>
      </c>
      <c r="B4800" s="5" t="s">
        <v>11522</v>
      </c>
      <c r="C4800" s="5" t="s">
        <v>27</v>
      </c>
      <c r="D4800" s="5" t="s">
        <v>28</v>
      </c>
      <c r="E4800" s="5" t="s">
        <v>29</v>
      </c>
      <c r="F4800" s="9">
        <v>88</v>
      </c>
      <c r="G4800" s="9">
        <v>974</v>
      </c>
      <c r="H4800" s="5" t="s">
        <v>20</v>
      </c>
      <c r="I4800" s="5" t="s">
        <v>11523</v>
      </c>
      <c r="J4800" s="12" t="str">
        <f>HYPERLINK("https://www.boe.es/gazeta/dias/1804/11/02/pdfs/GMD-1804-88.pdf#page=6","Abrir facsímil")</f>
        <v>Abrir facsímil</v>
      </c>
      <c r="K4800" s="15" t="s">
        <v>22</v>
      </c>
    </row>
    <row r="4801" spans="1:11" ht="42" customHeight="1">
      <c r="A4801" s="4" t="s">
        <v>11524</v>
      </c>
      <c r="B4801" s="5" t="s">
        <v>11524</v>
      </c>
      <c r="C4801" s="5" t="s">
        <v>57</v>
      </c>
      <c r="D4801" s="5" t="s">
        <v>58</v>
      </c>
      <c r="E4801" s="5" t="s">
        <v>576</v>
      </c>
      <c r="F4801" s="9">
        <v>85</v>
      </c>
      <c r="G4801" s="9">
        <v>937</v>
      </c>
      <c r="H4801" s="5" t="s">
        <v>20</v>
      </c>
      <c r="I4801" s="5" t="s">
        <v>11525</v>
      </c>
      <c r="J4801" s="12" t="str">
        <f>HYPERLINK("https://www.boe.es/gazeta/dias/1804/10/23/pdfs/GMD-1804-85.pdf#page=7","Abrir facsímil")</f>
        <v>Abrir facsímil</v>
      </c>
      <c r="K4801" s="15" t="s">
        <v>22</v>
      </c>
    </row>
    <row r="4802" spans="1:11" ht="42" customHeight="1">
      <c r="A4802" s="4" t="s">
        <v>11526</v>
      </c>
      <c r="B4802" s="5" t="s">
        <v>11527</v>
      </c>
      <c r="C4802" s="5" t="s">
        <v>57</v>
      </c>
      <c r="D4802" s="5" t="s">
        <v>58</v>
      </c>
      <c r="E4802" s="5" t="s">
        <v>367</v>
      </c>
      <c r="F4802" s="9">
        <v>64</v>
      </c>
      <c r="G4802" s="9">
        <v>709</v>
      </c>
      <c r="H4802" s="5" t="s">
        <v>20</v>
      </c>
      <c r="I4802" s="5" t="s">
        <v>11528</v>
      </c>
      <c r="J4802" s="12" t="str">
        <f>HYPERLINK("https://www.boe.es/gazeta/dias/1804/08/10/pdfs/GMD-1804-64.pdf#page=3","Abrir facsímil")</f>
        <v>Abrir facsímil</v>
      </c>
      <c r="K4802" s="15" t="s">
        <v>22</v>
      </c>
    </row>
    <row r="4803" spans="1:11" ht="42" customHeight="1">
      <c r="A4803" s="4" t="s">
        <v>11529</v>
      </c>
      <c r="B4803" s="5" t="s">
        <v>11530</v>
      </c>
      <c r="C4803" s="5" t="s">
        <v>17</v>
      </c>
      <c r="D4803" s="5" t="s">
        <v>18</v>
      </c>
      <c r="E4803" s="5" t="s">
        <v>354</v>
      </c>
      <c r="F4803" s="9">
        <v>1</v>
      </c>
      <c r="G4803" s="9">
        <v>1</v>
      </c>
      <c r="H4803" s="5" t="s">
        <v>20</v>
      </c>
      <c r="I4803" s="5" t="s">
        <v>11531</v>
      </c>
      <c r="J4803" s="12" t="str">
        <f>HYPERLINK("https://www.boe.es/gazeta/dias/1804/01/03/pdfs/GMD-1804-1.pdf#page=1","Abrir facsímil")</f>
        <v>Abrir facsímil</v>
      </c>
      <c r="K4803" s="15" t="s">
        <v>22</v>
      </c>
    </row>
    <row r="4804" spans="1:11" ht="42" customHeight="1">
      <c r="A4804" s="4" t="s">
        <v>11532</v>
      </c>
      <c r="B4804" s="5" t="s">
        <v>11532</v>
      </c>
      <c r="C4804" s="5" t="s">
        <v>57</v>
      </c>
      <c r="D4804" s="5" t="s">
        <v>58</v>
      </c>
      <c r="E4804" s="5" t="s">
        <v>800</v>
      </c>
      <c r="F4804" s="9">
        <v>45</v>
      </c>
      <c r="G4804" s="9">
        <v>492</v>
      </c>
      <c r="H4804" s="5" t="s">
        <v>20</v>
      </c>
      <c r="I4804" s="5" t="s">
        <v>11533</v>
      </c>
      <c r="J4804" s="12" t="str">
        <f>HYPERLINK("https://www.boe.es/gazeta/dias/1804/06/05/pdfs/GMD-1804-45.pdf#page=2","Abrir facsímil")</f>
        <v>Abrir facsímil</v>
      </c>
      <c r="K4804" s="15" t="s">
        <v>22</v>
      </c>
    </row>
    <row r="4805" spans="1:11" ht="42" customHeight="1">
      <c r="A4805" s="4" t="s">
        <v>11534</v>
      </c>
      <c r="B4805" s="5" t="s">
        <v>11534</v>
      </c>
      <c r="C4805" s="5" t="s">
        <v>27</v>
      </c>
      <c r="D4805" s="5" t="s">
        <v>28</v>
      </c>
      <c r="E4805" s="5" t="s">
        <v>75</v>
      </c>
      <c r="F4805" s="9">
        <v>16</v>
      </c>
      <c r="G4805" s="9">
        <v>171</v>
      </c>
      <c r="H4805" s="5" t="s">
        <v>20</v>
      </c>
      <c r="I4805" s="5" t="s">
        <v>11535</v>
      </c>
      <c r="J4805" s="12" t="str">
        <f>HYPERLINK("https://www.boe.es/gazeta/dias/1804/02/24/pdfs/GMD-1804-16.pdf#page=7","Abrir facsímil")</f>
        <v>Abrir facsímil</v>
      </c>
      <c r="K4805" s="15" t="s">
        <v>22</v>
      </c>
    </row>
    <row r="4806" spans="1:11" ht="42" customHeight="1">
      <c r="A4806" s="4" t="s">
        <v>11536</v>
      </c>
      <c r="B4806" s="5" t="s">
        <v>11537</v>
      </c>
      <c r="C4806" s="5" t="s">
        <v>57</v>
      </c>
      <c r="D4806" s="5" t="s">
        <v>58</v>
      </c>
      <c r="E4806" s="5" t="s">
        <v>67</v>
      </c>
      <c r="F4806" s="9">
        <v>59</v>
      </c>
      <c r="G4806" s="9">
        <v>650</v>
      </c>
      <c r="H4806" s="5" t="s">
        <v>20</v>
      </c>
      <c r="I4806" s="5" t="s">
        <v>11538</v>
      </c>
      <c r="J4806" s="12" t="str">
        <f>HYPERLINK("https://www.boe.es/gazeta/dias/1804/07/24/pdfs/GMD-1804-59.pdf#page=4","Abrir facsímil")</f>
        <v>Abrir facsímil</v>
      </c>
      <c r="K4806" s="15" t="s">
        <v>22</v>
      </c>
    </row>
    <row r="4807" spans="1:11" ht="42" customHeight="1">
      <c r="A4807" s="4" t="s">
        <v>11539</v>
      </c>
      <c r="B4807" s="5" t="s">
        <v>11539</v>
      </c>
      <c r="C4807" s="5" t="s">
        <v>27</v>
      </c>
      <c r="D4807" s="5" t="s">
        <v>28</v>
      </c>
      <c r="E4807" s="5" t="s">
        <v>77</v>
      </c>
      <c r="F4807" s="9">
        <v>32</v>
      </c>
      <c r="G4807" s="9">
        <v>348</v>
      </c>
      <c r="H4807" s="5" t="s">
        <v>20</v>
      </c>
      <c r="I4807" s="5" t="s">
        <v>11540</v>
      </c>
      <c r="J4807" s="12" t="str">
        <f>HYPERLINK("https://www.boe.es/gazeta/dias/1804/04/20/pdfs/GMD-1804-32.pdf#page=2","Abrir facsímil")</f>
        <v>Abrir facsímil</v>
      </c>
      <c r="K4807" s="15" t="s">
        <v>22</v>
      </c>
    </row>
    <row r="4808" spans="1:11" ht="42" customHeight="1">
      <c r="A4808" s="4" t="s">
        <v>11541</v>
      </c>
      <c r="B4808" s="5" t="s">
        <v>11541</v>
      </c>
      <c r="C4808" s="5" t="s">
        <v>27</v>
      </c>
      <c r="D4808" s="5" t="s">
        <v>28</v>
      </c>
      <c r="E4808" s="5" t="s">
        <v>216</v>
      </c>
      <c r="F4808" s="9">
        <v>67</v>
      </c>
      <c r="G4808" s="9">
        <v>748</v>
      </c>
      <c r="H4808" s="5" t="s">
        <v>20</v>
      </c>
      <c r="I4808" s="5" t="s">
        <v>11542</v>
      </c>
      <c r="J4808" s="12" t="str">
        <f>HYPERLINK("https://www.boe.es/gazeta/dias/1804/08/21/pdfs/GMD-1804-67.pdf#page=6","Abrir facsímil")</f>
        <v>Abrir facsímil</v>
      </c>
      <c r="K4808" s="15" t="s">
        <v>22</v>
      </c>
    </row>
    <row r="4809" spans="1:11" ht="42" customHeight="1">
      <c r="A4809" s="4" t="s">
        <v>11543</v>
      </c>
      <c r="B4809" s="5" t="s">
        <v>11544</v>
      </c>
      <c r="C4809" s="5" t="s">
        <v>27</v>
      </c>
      <c r="D4809" s="5" t="s">
        <v>28</v>
      </c>
      <c r="E4809" s="5" t="s">
        <v>155</v>
      </c>
      <c r="F4809" s="9">
        <v>92</v>
      </c>
      <c r="G4809" s="9">
        <v>1017</v>
      </c>
      <c r="H4809" s="5" t="s">
        <v>20</v>
      </c>
      <c r="I4809" s="5" t="s">
        <v>11545</v>
      </c>
      <c r="J4809" s="12" t="str">
        <f>HYPERLINK("https://www.boe.es/gazeta/dias/1804/11/16/pdfs/GMD-1804-92.pdf#page=5","Abrir facsímil")</f>
        <v>Abrir facsímil</v>
      </c>
      <c r="K4809" s="15" t="s">
        <v>22</v>
      </c>
    </row>
    <row r="4810" spans="1:11" ht="42" customHeight="1">
      <c r="A4810" s="4" t="s">
        <v>11546</v>
      </c>
      <c r="B4810" s="5" t="s">
        <v>11547</v>
      </c>
      <c r="C4810" s="5" t="s">
        <v>17</v>
      </c>
      <c r="D4810" s="5" t="s">
        <v>18</v>
      </c>
      <c r="E4810" s="5" t="s">
        <v>71</v>
      </c>
      <c r="F4810" s="9">
        <v>99</v>
      </c>
      <c r="G4810" s="9">
        <v>1106</v>
      </c>
      <c r="H4810" s="5" t="s">
        <v>20</v>
      </c>
      <c r="I4810" s="5" t="s">
        <v>11548</v>
      </c>
      <c r="J4810" s="12" t="str">
        <f>HYPERLINK("https://www.boe.es/gazeta/dias/1804/12/11/pdfs/GMD-1804-99.pdf#page=6","Abrir facsímil")</f>
        <v>Abrir facsímil</v>
      </c>
      <c r="K4810" s="15" t="s">
        <v>22</v>
      </c>
    </row>
    <row r="4811" spans="1:11" ht="42" customHeight="1">
      <c r="A4811" s="4" t="s">
        <v>11549</v>
      </c>
      <c r="B4811" s="5" t="s">
        <v>11549</v>
      </c>
      <c r="C4811" s="5" t="s">
        <v>85</v>
      </c>
      <c r="D4811" s="5" t="s">
        <v>86</v>
      </c>
      <c r="E4811" s="5" t="s">
        <v>427</v>
      </c>
      <c r="F4811" s="9">
        <v>80</v>
      </c>
      <c r="G4811" s="9">
        <v>887</v>
      </c>
      <c r="H4811" s="5" t="s">
        <v>20</v>
      </c>
      <c r="I4811" s="5" t="s">
        <v>11550</v>
      </c>
      <c r="J4811" s="12" t="str">
        <f>HYPERLINK("https://www.boe.es/gazeta/dias/1804/10/05/pdfs/GMD-1804-80.pdf#page=5","Abrir facsímil")</f>
        <v>Abrir facsímil</v>
      </c>
      <c r="K4811" s="15" t="s">
        <v>22</v>
      </c>
    </row>
    <row r="4812" spans="1:11" ht="42" customHeight="1">
      <c r="A4812" s="4" t="s">
        <v>11551</v>
      </c>
      <c r="B4812" s="5" t="s">
        <v>11551</v>
      </c>
      <c r="C4812" s="5" t="s">
        <v>17</v>
      </c>
      <c r="D4812" s="5" t="s">
        <v>18</v>
      </c>
      <c r="E4812" s="5" t="s">
        <v>421</v>
      </c>
      <c r="F4812" s="9">
        <v>47</v>
      </c>
      <c r="G4812" s="9">
        <v>527</v>
      </c>
      <c r="H4812" s="5" t="s">
        <v>20</v>
      </c>
      <c r="I4812" s="5" t="s">
        <v>11552</v>
      </c>
      <c r="J4812" s="12" t="str">
        <f>HYPERLINK("https://www.boe.es/gazeta/dias/1804/06/12/pdfs/GMD-1804-47.pdf#page=9","Abrir facsímil")</f>
        <v>Abrir facsímil</v>
      </c>
      <c r="K4812" s="15" t="s">
        <v>22</v>
      </c>
    </row>
    <row r="4813" spans="1:11" ht="42" customHeight="1">
      <c r="A4813" s="4" t="s">
        <v>11553</v>
      </c>
      <c r="B4813" s="5" t="s">
        <v>11554</v>
      </c>
      <c r="C4813" s="5" t="s">
        <v>57</v>
      </c>
      <c r="D4813" s="5" t="s">
        <v>58</v>
      </c>
      <c r="E4813" s="5" t="s">
        <v>388</v>
      </c>
      <c r="F4813" s="9">
        <v>18</v>
      </c>
      <c r="G4813" s="9">
        <v>190</v>
      </c>
      <c r="H4813" s="5" t="s">
        <v>20</v>
      </c>
      <c r="I4813" s="5" t="s">
        <v>11555</v>
      </c>
      <c r="J4813" s="12" t="str">
        <f>HYPERLINK("https://www.boe.es/gazeta/dias/1804/03/02/pdfs/GMD-1804-18.pdf#page=2","Abrir facsímil")</f>
        <v>Abrir facsímil</v>
      </c>
      <c r="K4813" s="15" t="s">
        <v>22</v>
      </c>
    </row>
    <row r="4814" spans="1:11" ht="42" customHeight="1">
      <c r="A4814" s="4" t="s">
        <v>11556</v>
      </c>
      <c r="B4814" s="5" t="s">
        <v>11557</v>
      </c>
      <c r="C4814" s="5" t="s">
        <v>27</v>
      </c>
      <c r="D4814" s="5" t="s">
        <v>28</v>
      </c>
      <c r="E4814" s="5" t="s">
        <v>367</v>
      </c>
      <c r="F4814" s="9">
        <v>64</v>
      </c>
      <c r="G4814" s="9">
        <v>714</v>
      </c>
      <c r="H4814" s="5" t="s">
        <v>20</v>
      </c>
      <c r="I4814" s="5" t="s">
        <v>11558</v>
      </c>
      <c r="J4814" s="12" t="str">
        <f>HYPERLINK("https://www.boe.es/gazeta/dias/1804/08/10/pdfs/GMD-1804-64.pdf#page=8","Abrir facsímil")</f>
        <v>Abrir facsímil</v>
      </c>
      <c r="K4814" s="15" t="s">
        <v>22</v>
      </c>
    </row>
    <row r="4815" spans="1:11" ht="42" customHeight="1">
      <c r="A4815" s="4" t="s">
        <v>11559</v>
      </c>
      <c r="B4815" s="5" t="s">
        <v>11560</v>
      </c>
      <c r="C4815" s="5" t="s">
        <v>27</v>
      </c>
      <c r="D4815" s="5" t="s">
        <v>28</v>
      </c>
      <c r="E4815" s="5" t="s">
        <v>222</v>
      </c>
      <c r="F4815" s="9">
        <v>4</v>
      </c>
      <c r="G4815" s="9">
        <v>38</v>
      </c>
      <c r="H4815" s="5" t="s">
        <v>20</v>
      </c>
      <c r="I4815" s="5" t="s">
        <v>11561</v>
      </c>
      <c r="J4815" s="12" t="str">
        <f>HYPERLINK("https://www.boe.es/gazeta/dias/1804/01/13/pdfs/GMD-1804-4.pdf#page=10","Abrir facsímil")</f>
        <v>Abrir facsímil</v>
      </c>
      <c r="K4815" s="15" t="s">
        <v>22</v>
      </c>
    </row>
    <row r="4816" spans="1:11" ht="42" customHeight="1">
      <c r="A4816" s="4" t="s">
        <v>11562</v>
      </c>
      <c r="B4816" s="5" t="s">
        <v>11562</v>
      </c>
      <c r="C4816" s="5" t="s">
        <v>27</v>
      </c>
      <c r="D4816" s="5" t="s">
        <v>28</v>
      </c>
      <c r="E4816" s="5" t="s">
        <v>67</v>
      </c>
      <c r="F4816" s="9">
        <v>59</v>
      </c>
      <c r="G4816" s="9">
        <v>650</v>
      </c>
      <c r="H4816" s="5" t="s">
        <v>20</v>
      </c>
      <c r="I4816" s="5" t="s">
        <v>11563</v>
      </c>
      <c r="J4816" s="12" t="str">
        <f>HYPERLINK("https://www.boe.es/gazeta/dias/1804/07/24/pdfs/GMD-1804-59.pdf#page=4","Abrir facsímil")</f>
        <v>Abrir facsímil</v>
      </c>
      <c r="K4816" s="15" t="s">
        <v>22</v>
      </c>
    </row>
    <row r="4817" spans="1:11" ht="42" customHeight="1">
      <c r="A4817" s="4" t="s">
        <v>11564</v>
      </c>
      <c r="B4817" s="5" t="s">
        <v>11564</v>
      </c>
      <c r="C4817" s="5" t="s">
        <v>27</v>
      </c>
      <c r="D4817" s="5" t="s">
        <v>28</v>
      </c>
      <c r="E4817" s="5" t="s">
        <v>547</v>
      </c>
      <c r="F4817" s="9">
        <v>68</v>
      </c>
      <c r="G4817" s="9">
        <v>761</v>
      </c>
      <c r="H4817" s="5" t="s">
        <v>20</v>
      </c>
      <c r="I4817" s="5" t="s">
        <v>11565</v>
      </c>
      <c r="J4817" s="12" t="str">
        <f>HYPERLINK("https://www.boe.es/gazeta/dias/1804/08/24/pdfs/GMD-1804-68.pdf#page=7","Abrir facsímil")</f>
        <v>Abrir facsímil</v>
      </c>
      <c r="K4817" s="15" t="s">
        <v>22</v>
      </c>
    </row>
    <row r="4818" spans="1:11" ht="42" customHeight="1">
      <c r="A4818" s="4" t="s">
        <v>11566</v>
      </c>
      <c r="B4818" s="5" t="s">
        <v>11566</v>
      </c>
      <c r="C4818" s="5" t="s">
        <v>85</v>
      </c>
      <c r="D4818" s="5" t="s">
        <v>86</v>
      </c>
      <c r="E4818" s="5" t="s">
        <v>212</v>
      </c>
      <c r="F4818" s="9">
        <v>89</v>
      </c>
      <c r="G4818" s="9">
        <v>992</v>
      </c>
      <c r="H4818" s="5" t="s">
        <v>20</v>
      </c>
      <c r="I4818" s="5" t="s">
        <v>11567</v>
      </c>
      <c r="J4818" s="12" t="str">
        <f>HYPERLINK("https://www.boe.es/gazeta/dias/1804/11/06/pdfs/GMD-1804-89.pdf#page=12","Abrir facsímil")</f>
        <v>Abrir facsímil</v>
      </c>
      <c r="K4818" s="15" t="s">
        <v>22</v>
      </c>
    </row>
    <row r="4819" spans="1:11" ht="42" customHeight="1">
      <c r="A4819" s="4" t="s">
        <v>11568</v>
      </c>
      <c r="B4819" s="5" t="s">
        <v>11569</v>
      </c>
      <c r="C4819" s="5" t="s">
        <v>17</v>
      </c>
      <c r="D4819" s="5" t="s">
        <v>18</v>
      </c>
      <c r="E4819" s="5" t="s">
        <v>147</v>
      </c>
      <c r="F4819" s="9">
        <v>77</v>
      </c>
      <c r="G4819" s="9">
        <v>859</v>
      </c>
      <c r="H4819" s="5" t="s">
        <v>20</v>
      </c>
      <c r="I4819" s="5" t="s">
        <v>11570</v>
      </c>
      <c r="J4819" s="12" t="str">
        <f>HYPERLINK("https://www.boe.es/gazeta/dias/1804/09/25/pdfs/GMD-1804-77.pdf#page=9","Abrir facsímil")</f>
        <v>Abrir facsímil</v>
      </c>
      <c r="K4819" s="15" t="s">
        <v>22</v>
      </c>
    </row>
    <row r="4820" spans="1:11" ht="42" customHeight="1">
      <c r="A4820" s="4" t="s">
        <v>11571</v>
      </c>
      <c r="B4820" s="5" t="s">
        <v>11572</v>
      </c>
      <c r="C4820" s="5" t="s">
        <v>17</v>
      </c>
      <c r="D4820" s="5" t="s">
        <v>18</v>
      </c>
      <c r="E4820" s="5" t="s">
        <v>308</v>
      </c>
      <c r="F4820" s="9">
        <v>96</v>
      </c>
      <c r="G4820" s="9">
        <v>1067</v>
      </c>
      <c r="H4820" s="5" t="s">
        <v>20</v>
      </c>
      <c r="I4820" s="5" t="s">
        <v>11573</v>
      </c>
      <c r="J4820" s="12" t="str">
        <f>HYPERLINK("https://www.boe.es/gazeta/dias/1804/11/30/pdfs/GMD-1804-96.pdf#page=7","Abrir facsímil")</f>
        <v>Abrir facsímil</v>
      </c>
      <c r="K4820" s="15" t="s">
        <v>22</v>
      </c>
    </row>
    <row r="4821" spans="1:11" ht="42" customHeight="1">
      <c r="A4821" s="4" t="s">
        <v>11574</v>
      </c>
      <c r="B4821" s="5" t="s">
        <v>11575</v>
      </c>
      <c r="C4821" s="5" t="s">
        <v>120</v>
      </c>
      <c r="D4821" s="5" t="s">
        <v>121</v>
      </c>
      <c r="E4821" s="5" t="s">
        <v>33</v>
      </c>
      <c r="F4821" s="9">
        <v>48</v>
      </c>
      <c r="G4821" s="9" t="s">
        <v>98</v>
      </c>
      <c r="H4821" s="5" t="s">
        <v>20</v>
      </c>
      <c r="I4821" s="5" t="s">
        <v>11576</v>
      </c>
      <c r="J4821" s="12" t="str">
        <f>HYPERLINK("https://www.boe.es/gazeta/dias/1804/06/15/pdfs/GMD-C-1804-48.pdf#page=1","Abrir facsímil")</f>
        <v>Abrir facsímil</v>
      </c>
      <c r="K4821" s="15" t="s">
        <v>22</v>
      </c>
    </row>
    <row r="4822" spans="1:11" ht="42" customHeight="1">
      <c r="A4822" s="4" t="s">
        <v>11577</v>
      </c>
      <c r="B4822" s="5" t="s">
        <v>11578</v>
      </c>
      <c r="C4822" s="5" t="s">
        <v>27</v>
      </c>
      <c r="D4822" s="5" t="s">
        <v>28</v>
      </c>
      <c r="E4822" s="5" t="s">
        <v>81</v>
      </c>
      <c r="F4822" s="9">
        <v>98</v>
      </c>
      <c r="G4822" s="9">
        <v>1088</v>
      </c>
      <c r="H4822" s="5" t="s">
        <v>20</v>
      </c>
      <c r="I4822" s="5" t="s">
        <v>11579</v>
      </c>
      <c r="J4822" s="12" t="str">
        <f>HYPERLINK("https://www.boe.es/gazeta/dias/1804/12/07/pdfs/GMD-1804-98.pdf#page=4","Abrir facsímil")</f>
        <v>Abrir facsímil</v>
      </c>
      <c r="K4822" s="15" t="s">
        <v>22</v>
      </c>
    </row>
    <row r="4823" spans="1:11" ht="42" customHeight="1">
      <c r="A4823" s="4" t="s">
        <v>11580</v>
      </c>
      <c r="B4823" s="5" t="s">
        <v>11581</v>
      </c>
      <c r="C4823" s="5" t="s">
        <v>85</v>
      </c>
      <c r="D4823" s="5" t="s">
        <v>86</v>
      </c>
      <c r="E4823" s="5" t="s">
        <v>264</v>
      </c>
      <c r="F4823" s="9">
        <v>49</v>
      </c>
      <c r="G4823" s="9" t="s">
        <v>10335</v>
      </c>
      <c r="H4823" s="5" t="s">
        <v>20</v>
      </c>
      <c r="I4823" s="5" t="s">
        <v>11582</v>
      </c>
      <c r="J4823" s="12" t="str">
        <f>HYPERLINK("https://www.boe.es/gazeta/dias/1804/06/19/pdfs/GMD-C-1804-49.pdf#page=7","Abrir facsímil")</f>
        <v>Abrir facsímil</v>
      </c>
      <c r="K4823" s="15" t="s">
        <v>22</v>
      </c>
    </row>
    <row r="4824" spans="1:11" ht="42" customHeight="1">
      <c r="A4824" s="4" t="s">
        <v>11583</v>
      </c>
      <c r="B4824" s="5" t="s">
        <v>11584</v>
      </c>
      <c r="C4824" s="5" t="s">
        <v>17</v>
      </c>
      <c r="D4824" s="5" t="s">
        <v>18</v>
      </c>
      <c r="E4824" s="5" t="s">
        <v>37</v>
      </c>
      <c r="F4824" s="9">
        <v>29</v>
      </c>
      <c r="G4824" s="9">
        <v>319</v>
      </c>
      <c r="H4824" s="5" t="s">
        <v>20</v>
      </c>
      <c r="I4824" s="5" t="s">
        <v>11585</v>
      </c>
      <c r="J4824" s="12" t="str">
        <f>HYPERLINK("https://www.boe.es/gazeta/dias/1804/04/10/pdfs/GMD-1804-29.pdf#page=9","Abrir facsímil")</f>
        <v>Abrir facsímil</v>
      </c>
      <c r="K4824" s="15" t="s">
        <v>22</v>
      </c>
    </row>
    <row r="4825" spans="1:11" ht="42" customHeight="1">
      <c r="A4825" s="4" t="s">
        <v>11586</v>
      </c>
      <c r="B4825" s="5" t="s">
        <v>11586</v>
      </c>
      <c r="C4825" s="5" t="s">
        <v>17</v>
      </c>
      <c r="D4825" s="5" t="s">
        <v>18</v>
      </c>
      <c r="E4825" s="5" t="s">
        <v>782</v>
      </c>
      <c r="F4825" s="9">
        <v>75</v>
      </c>
      <c r="G4825" s="9">
        <v>840</v>
      </c>
      <c r="H4825" s="5" t="s">
        <v>20</v>
      </c>
      <c r="I4825" s="5" t="s">
        <v>11587</v>
      </c>
      <c r="J4825" s="12" t="str">
        <f>HYPERLINK("https://www.boe.es/gazeta/dias/1804/09/18/pdfs/GMD-1804-75.pdf#page=6","Abrir facsímil")</f>
        <v>Abrir facsímil</v>
      </c>
      <c r="K4825" s="15" t="s">
        <v>22</v>
      </c>
    </row>
    <row r="4826" spans="1:11" ht="42" customHeight="1">
      <c r="A4826" s="4" t="s">
        <v>11588</v>
      </c>
      <c r="B4826" s="5" t="s">
        <v>11588</v>
      </c>
      <c r="C4826" s="5" t="s">
        <v>17</v>
      </c>
      <c r="D4826" s="5" t="s">
        <v>18</v>
      </c>
      <c r="E4826" s="5" t="s">
        <v>367</v>
      </c>
      <c r="F4826" s="9">
        <v>64</v>
      </c>
      <c r="G4826" s="9">
        <v>716</v>
      </c>
      <c r="H4826" s="5" t="s">
        <v>20</v>
      </c>
      <c r="I4826" s="5" t="s">
        <v>11589</v>
      </c>
      <c r="J4826" s="12" t="str">
        <f>HYPERLINK("https://www.boe.es/gazeta/dias/1804/08/10/pdfs/GMD-1804-64.pdf#page=10","Abrir facsímil")</f>
        <v>Abrir facsímil</v>
      </c>
      <c r="K4826" s="15" t="s">
        <v>22</v>
      </c>
    </row>
    <row r="4827" spans="1:11" ht="42" customHeight="1">
      <c r="A4827" s="4" t="s">
        <v>11590</v>
      </c>
      <c r="B4827" s="5" t="s">
        <v>11590</v>
      </c>
      <c r="C4827" s="5" t="s">
        <v>57</v>
      </c>
      <c r="D4827" s="5" t="s">
        <v>58</v>
      </c>
      <c r="E4827" s="5" t="s">
        <v>23</v>
      </c>
      <c r="F4827" s="9">
        <v>91</v>
      </c>
      <c r="G4827" s="9">
        <v>1006</v>
      </c>
      <c r="H4827" s="5" t="s">
        <v>20</v>
      </c>
      <c r="I4827" s="5" t="s">
        <v>11591</v>
      </c>
      <c r="J4827" s="12" t="str">
        <f>HYPERLINK("https://www.boe.es/gazeta/dias/1804/11/13/pdfs/GMD-1804-91.pdf#page=6","Abrir facsímil")</f>
        <v>Abrir facsímil</v>
      </c>
      <c r="K4827" s="15" t="s">
        <v>22</v>
      </c>
    </row>
    <row r="4828" spans="1:11" ht="42" customHeight="1">
      <c r="A4828" s="4" t="s">
        <v>11592</v>
      </c>
      <c r="B4828" s="5" t="s">
        <v>11593</v>
      </c>
      <c r="C4828" s="5" t="s">
        <v>17</v>
      </c>
      <c r="D4828" s="5" t="s">
        <v>18</v>
      </c>
      <c r="E4828" s="5" t="s">
        <v>453</v>
      </c>
      <c r="F4828" s="9">
        <v>33</v>
      </c>
      <c r="G4828" s="9">
        <v>366</v>
      </c>
      <c r="H4828" s="5" t="s">
        <v>20</v>
      </c>
      <c r="I4828" s="5" t="s">
        <v>11594</v>
      </c>
      <c r="J4828" s="12" t="str">
        <f>HYPERLINK("https://www.boe.es/gazeta/dias/1804/04/24/pdfs/GMD-1804-33.pdf#page=8","Abrir facsímil")</f>
        <v>Abrir facsímil</v>
      </c>
      <c r="K4828" s="15" t="s">
        <v>22</v>
      </c>
    </row>
    <row r="4829" spans="1:11" ht="42" customHeight="1">
      <c r="A4829" s="4" t="s">
        <v>11592</v>
      </c>
      <c r="B4829" s="5" t="s">
        <v>11593</v>
      </c>
      <c r="C4829" s="5" t="s">
        <v>27</v>
      </c>
      <c r="D4829" s="5" t="s">
        <v>28</v>
      </c>
      <c r="E4829" s="5" t="s">
        <v>47</v>
      </c>
      <c r="F4829" s="9">
        <v>78</v>
      </c>
      <c r="G4829" s="9">
        <v>868</v>
      </c>
      <c r="H4829" s="5" t="s">
        <v>20</v>
      </c>
      <c r="I4829" s="5" t="s">
        <v>11595</v>
      </c>
      <c r="J4829" s="12" t="str">
        <f>HYPERLINK("https://www.boe.es/gazeta/dias/1804/09/28/pdfs/GMD-1804-78.pdf#page=6","Abrir facsímil")</f>
        <v>Abrir facsímil</v>
      </c>
      <c r="K4829" s="15" t="s">
        <v>22</v>
      </c>
    </row>
    <row r="4830" spans="1:11" ht="42" customHeight="1">
      <c r="A4830" s="4" t="s">
        <v>11596</v>
      </c>
      <c r="B4830" s="5" t="s">
        <v>11597</v>
      </c>
      <c r="C4830" s="5" t="s">
        <v>262</v>
      </c>
      <c r="D4830" s="5" t="s">
        <v>263</v>
      </c>
      <c r="E4830" s="5" t="s">
        <v>97</v>
      </c>
      <c r="F4830" s="9">
        <v>50</v>
      </c>
      <c r="G4830" s="9" t="s">
        <v>285</v>
      </c>
      <c r="H4830" s="5" t="s">
        <v>20</v>
      </c>
      <c r="I4830" s="5" t="s">
        <v>11598</v>
      </c>
      <c r="J4830" s="12" t="str">
        <f>HYPERLINK("https://www.boe.es/gazeta/dias/1804/06/22/pdfs/GMD-C-1804-50.pdf#page=2","Abrir facsímil")</f>
        <v>Abrir facsímil</v>
      </c>
      <c r="K4830" s="15" t="s">
        <v>22</v>
      </c>
    </row>
    <row r="4831" spans="1:11" ht="42" customHeight="1">
      <c r="A4831" s="4" t="s">
        <v>11599</v>
      </c>
      <c r="B4831" s="5" t="s">
        <v>11600</v>
      </c>
      <c r="C4831" s="5" t="s">
        <v>85</v>
      </c>
      <c r="D4831" s="5" t="s">
        <v>86</v>
      </c>
      <c r="E4831" s="5" t="s">
        <v>97</v>
      </c>
      <c r="F4831" s="9">
        <v>50</v>
      </c>
      <c r="G4831" s="9" t="s">
        <v>98</v>
      </c>
      <c r="H4831" s="5" t="s">
        <v>20</v>
      </c>
      <c r="I4831" s="5" t="s">
        <v>11601</v>
      </c>
      <c r="J4831" s="12" t="str">
        <f>HYPERLINK("https://www.boe.es/gazeta/dias/1804/06/22/pdfs/GMD-C-1804-50.pdf#page=1","Abrir facsímil")</f>
        <v>Abrir facsímil</v>
      </c>
      <c r="K4831" s="15" t="s">
        <v>22</v>
      </c>
    </row>
    <row r="4832" spans="1:11" ht="42" customHeight="1">
      <c r="A4832" s="4" t="s">
        <v>11602</v>
      </c>
      <c r="B4832" s="5" t="s">
        <v>11603</v>
      </c>
      <c r="C4832" s="5" t="s">
        <v>65</v>
      </c>
      <c r="D4832" s="5" t="s">
        <v>66</v>
      </c>
      <c r="E4832" s="5" t="s">
        <v>109</v>
      </c>
      <c r="F4832" s="9">
        <v>35</v>
      </c>
      <c r="G4832" s="9">
        <v>387</v>
      </c>
      <c r="H4832" s="5" t="s">
        <v>20</v>
      </c>
      <c r="I4832" s="5" t="s">
        <v>11604</v>
      </c>
      <c r="J4832" s="12" t="str">
        <f>HYPERLINK("https://www.boe.es/gazeta/dias/1804/05/01/pdfs/GMD-1804-35.pdf#page=9","Abrir facsímil")</f>
        <v>Abrir facsímil</v>
      </c>
      <c r="K4832" s="15" t="s">
        <v>22</v>
      </c>
    </row>
    <row r="4833" spans="1:11" ht="42" customHeight="1">
      <c r="A4833" s="4" t="s">
        <v>11605</v>
      </c>
      <c r="B4833" s="5" t="s">
        <v>11606</v>
      </c>
      <c r="C4833" s="5" t="s">
        <v>198</v>
      </c>
      <c r="D4833" s="5" t="s">
        <v>66</v>
      </c>
      <c r="E4833" s="5" t="s">
        <v>298</v>
      </c>
      <c r="F4833" s="9">
        <v>10</v>
      </c>
      <c r="G4833" s="9">
        <v>112</v>
      </c>
      <c r="H4833" s="5" t="s">
        <v>20</v>
      </c>
      <c r="I4833" s="5" t="s">
        <v>11607</v>
      </c>
      <c r="J4833" s="12" t="str">
        <f>HYPERLINK("https://www.boe.es/gazeta/dias/1804/02/03/pdfs/GMD-1804-10.pdf#page=12","Abrir facsímil")</f>
        <v>Abrir facsímil</v>
      </c>
      <c r="K4833" s="15" t="s">
        <v>22</v>
      </c>
    </row>
    <row r="4834" spans="1:11" ht="42" customHeight="1">
      <c r="A4834" s="4" t="s">
        <v>11608</v>
      </c>
      <c r="B4834" s="5" t="s">
        <v>11609</v>
      </c>
      <c r="C4834" s="5" t="s">
        <v>17</v>
      </c>
      <c r="D4834" s="5" t="s">
        <v>18</v>
      </c>
      <c r="E4834" s="5" t="s">
        <v>298</v>
      </c>
      <c r="F4834" s="9">
        <v>10</v>
      </c>
      <c r="G4834" s="9">
        <v>112</v>
      </c>
      <c r="H4834" s="5" t="s">
        <v>20</v>
      </c>
      <c r="I4834" s="5" t="s">
        <v>11610</v>
      </c>
      <c r="J4834" s="12" t="str">
        <f>HYPERLINK("https://www.boe.es/gazeta/dias/1804/02/03/pdfs/GMD-1804-10.pdf#page=12","Abrir facsímil")</f>
        <v>Abrir facsímil</v>
      </c>
      <c r="K4834" s="15" t="s">
        <v>22</v>
      </c>
    </row>
    <row r="4835" spans="1:11" ht="42" customHeight="1">
      <c r="A4835" s="4" t="s">
        <v>11611</v>
      </c>
      <c r="B4835" s="5" t="s">
        <v>11611</v>
      </c>
      <c r="C4835" s="5" t="s">
        <v>17</v>
      </c>
      <c r="D4835" s="5" t="s">
        <v>18</v>
      </c>
      <c r="E4835" s="5" t="s">
        <v>37</v>
      </c>
      <c r="F4835" s="9">
        <v>29</v>
      </c>
      <c r="G4835" s="9">
        <v>321</v>
      </c>
      <c r="H4835" s="5" t="s">
        <v>20</v>
      </c>
      <c r="I4835" s="5" t="s">
        <v>11612</v>
      </c>
      <c r="J4835" s="12" t="str">
        <f>HYPERLINK("https://www.boe.es/gazeta/dias/1804/04/10/pdfs/GMD-1804-29.pdf#page=11","Abrir facsímil")</f>
        <v>Abrir facsímil</v>
      </c>
      <c r="K4835" s="15" t="s">
        <v>22</v>
      </c>
    </row>
    <row r="4836" spans="1:11" ht="42" customHeight="1">
      <c r="A4836" s="4" t="s">
        <v>11613</v>
      </c>
      <c r="B4836" s="5" t="s">
        <v>11614</v>
      </c>
      <c r="C4836" s="5" t="s">
        <v>27</v>
      </c>
      <c r="D4836" s="5" t="s">
        <v>28</v>
      </c>
      <c r="E4836" s="5" t="s">
        <v>699</v>
      </c>
      <c r="F4836" s="9">
        <v>2</v>
      </c>
      <c r="G4836" s="9">
        <v>18</v>
      </c>
      <c r="H4836" s="5" t="s">
        <v>20</v>
      </c>
      <c r="I4836" s="5" t="s">
        <v>11615</v>
      </c>
      <c r="J4836" s="12" t="str">
        <f>HYPERLINK("https://www.boe.es/gazeta/dias/1804/01/06/pdfs/GMD-1804-2.pdf#page=6","Abrir facsímil")</f>
        <v>Abrir facsímil</v>
      </c>
      <c r="K4836" s="15" t="s">
        <v>22</v>
      </c>
    </row>
    <row r="4837" spans="1:11" ht="42" customHeight="1">
      <c r="A4837" s="4" t="s">
        <v>11616</v>
      </c>
      <c r="B4837" s="5" t="s">
        <v>11616</v>
      </c>
      <c r="C4837" s="5" t="s">
        <v>27</v>
      </c>
      <c r="D4837" s="5" t="s">
        <v>28</v>
      </c>
      <c r="E4837" s="5" t="s">
        <v>587</v>
      </c>
      <c r="F4837" s="9">
        <v>62</v>
      </c>
      <c r="G4837" s="9">
        <v>682</v>
      </c>
      <c r="H4837" s="5" t="s">
        <v>20</v>
      </c>
      <c r="I4837" s="5" t="s">
        <v>11617</v>
      </c>
      <c r="J4837" s="12" t="str">
        <f>HYPERLINK("https://www.boe.es/gazeta/dias/1804/08/03/pdfs/GMD-1804-62.pdf#page=4","Abrir facsímil")</f>
        <v>Abrir facsímil</v>
      </c>
      <c r="K4837" s="15" t="s">
        <v>22</v>
      </c>
    </row>
    <row r="4838" spans="1:11" ht="42" customHeight="1">
      <c r="A4838" s="4" t="s">
        <v>11618</v>
      </c>
      <c r="B4838" s="5" t="s">
        <v>11618</v>
      </c>
      <c r="C4838" s="5" t="s">
        <v>57</v>
      </c>
      <c r="D4838" s="5" t="s">
        <v>58</v>
      </c>
      <c r="E4838" s="5" t="s">
        <v>172</v>
      </c>
      <c r="F4838" s="9">
        <v>38</v>
      </c>
      <c r="G4838" s="9">
        <v>419</v>
      </c>
      <c r="H4838" s="5" t="s">
        <v>20</v>
      </c>
      <c r="I4838" s="5" t="s">
        <v>11619</v>
      </c>
      <c r="J4838" s="12" t="str">
        <f>HYPERLINK("https://www.boe.es/gazeta/dias/1804/05/11/pdfs/GMD-1804-38.pdf#page=5","Abrir facsímil")</f>
        <v>Abrir facsímil</v>
      </c>
      <c r="K4838" s="15" t="s">
        <v>22</v>
      </c>
    </row>
    <row r="4839" spans="1:11" ht="42" customHeight="1">
      <c r="A4839" s="4" t="s">
        <v>11620</v>
      </c>
      <c r="B4839" s="5" t="s">
        <v>11621</v>
      </c>
      <c r="C4839" s="5" t="s">
        <v>57</v>
      </c>
      <c r="D4839" s="5" t="s">
        <v>58</v>
      </c>
      <c r="E4839" s="5" t="s">
        <v>538</v>
      </c>
      <c r="F4839" s="9">
        <v>27</v>
      </c>
      <c r="G4839" s="9">
        <v>295</v>
      </c>
      <c r="H4839" s="5" t="s">
        <v>20</v>
      </c>
      <c r="I4839" s="5" t="s">
        <v>11622</v>
      </c>
      <c r="J4839" s="12" t="str">
        <f>HYPERLINK("https://www.boe.es/gazeta/dias/1804/04/03/pdfs/GMD-1804-27.pdf#page=1","Abrir facsímil")</f>
        <v>Abrir facsímil</v>
      </c>
      <c r="K4839" s="15" t="s">
        <v>22</v>
      </c>
    </row>
    <row r="4840" spans="1:11" ht="42" customHeight="1">
      <c r="A4840" s="4" t="s">
        <v>11623</v>
      </c>
      <c r="B4840" s="5" t="s">
        <v>11623</v>
      </c>
      <c r="C4840" s="5" t="s">
        <v>27</v>
      </c>
      <c r="D4840" s="5" t="s">
        <v>28</v>
      </c>
      <c r="E4840" s="5" t="s">
        <v>234</v>
      </c>
      <c r="F4840" s="9">
        <v>86</v>
      </c>
      <c r="G4840" s="9">
        <v>944</v>
      </c>
      <c r="H4840" s="5" t="s">
        <v>20</v>
      </c>
      <c r="I4840" s="5" t="s">
        <v>11624</v>
      </c>
      <c r="J4840" s="12" t="str">
        <f>HYPERLINK("https://www.boe.es/gazeta/dias/1804/10/26/pdfs/GMD-1804-86.pdf#page=2","Abrir facsímil")</f>
        <v>Abrir facsímil</v>
      </c>
      <c r="K4840" s="15" t="s">
        <v>22</v>
      </c>
    </row>
    <row r="4841" spans="1:11" ht="42" customHeight="1">
      <c r="A4841" s="4" t="s">
        <v>11625</v>
      </c>
      <c r="B4841" s="5" t="s">
        <v>11625</v>
      </c>
      <c r="C4841" s="5" t="s">
        <v>17</v>
      </c>
      <c r="D4841" s="5" t="s">
        <v>18</v>
      </c>
      <c r="E4841" s="5" t="s">
        <v>950</v>
      </c>
      <c r="F4841" s="9">
        <v>90</v>
      </c>
      <c r="G4841" s="9">
        <v>997</v>
      </c>
      <c r="H4841" s="5" t="s">
        <v>20</v>
      </c>
      <c r="I4841" s="5" t="s">
        <v>11626</v>
      </c>
      <c r="J4841" s="12" t="str">
        <f>HYPERLINK("https://www.boe.es/gazeta/dias/1804/11/09/pdfs/GMD-1804-90.pdf#page=5","Abrir facsímil")</f>
        <v>Abrir facsímil</v>
      </c>
      <c r="K4841" s="15" t="s">
        <v>22</v>
      </c>
    </row>
    <row r="4842" spans="1:11" ht="42" customHeight="1">
      <c r="A4842" s="4" t="s">
        <v>11627</v>
      </c>
      <c r="B4842" s="5" t="s">
        <v>11627</v>
      </c>
      <c r="C4842" s="5" t="s">
        <v>17</v>
      </c>
      <c r="D4842" s="5" t="s">
        <v>18</v>
      </c>
      <c r="E4842" s="5" t="s">
        <v>317</v>
      </c>
      <c r="F4842" s="9">
        <v>56</v>
      </c>
      <c r="G4842" s="9">
        <v>621</v>
      </c>
      <c r="H4842" s="5" t="s">
        <v>20</v>
      </c>
      <c r="I4842" s="5" t="s">
        <v>11628</v>
      </c>
      <c r="J4842" s="12" t="str">
        <f>HYPERLINK("https://www.boe.es/gazeta/dias/1804/07/13/pdfs/GMD-1804-56.pdf#page=7","Abrir facsímil")</f>
        <v>Abrir facsímil</v>
      </c>
      <c r="K4842" s="15" t="s">
        <v>22</v>
      </c>
    </row>
    <row r="4843" spans="1:11" ht="42" customHeight="1">
      <c r="A4843" s="4" t="s">
        <v>11629</v>
      </c>
      <c r="B4843" s="5" t="s">
        <v>11630</v>
      </c>
      <c r="C4843" s="5" t="s">
        <v>27</v>
      </c>
      <c r="D4843" s="5" t="s">
        <v>28</v>
      </c>
      <c r="E4843" s="5" t="s">
        <v>136</v>
      </c>
      <c r="F4843" s="9">
        <v>23</v>
      </c>
      <c r="G4843" s="9">
        <v>261</v>
      </c>
      <c r="H4843" s="5" t="s">
        <v>20</v>
      </c>
      <c r="I4843" s="5" t="s">
        <v>11631</v>
      </c>
      <c r="J4843" s="12" t="str">
        <f>HYPERLINK("https://www.boe.es/gazeta/dias/1804/03/20/pdfs/GMD-1804-23.pdf#page=7","Abrir facsímil")</f>
        <v>Abrir facsímil</v>
      </c>
      <c r="K4843" s="15" t="s">
        <v>22</v>
      </c>
    </row>
    <row r="4844" spans="1:11" ht="42" customHeight="1">
      <c r="A4844" s="4" t="s">
        <v>11632</v>
      </c>
      <c r="B4844" s="5" t="s">
        <v>11633</v>
      </c>
      <c r="C4844" s="5" t="s">
        <v>120</v>
      </c>
      <c r="D4844" s="5" t="s">
        <v>121</v>
      </c>
      <c r="E4844" s="5" t="s">
        <v>33</v>
      </c>
      <c r="F4844" s="9">
        <v>48</v>
      </c>
      <c r="G4844" s="9" t="s">
        <v>122</v>
      </c>
      <c r="H4844" s="5" t="s">
        <v>20</v>
      </c>
      <c r="I4844" s="5" t="s">
        <v>11634</v>
      </c>
      <c r="J4844" s="12" t="str">
        <f>HYPERLINK("https://www.boe.es/gazeta/dias/1804/06/15/pdfs/GMD-C-1804-48.pdf#page=3","Abrir facsímil")</f>
        <v>Abrir facsímil</v>
      </c>
      <c r="K4844" s="15" t="s">
        <v>22</v>
      </c>
    </row>
    <row r="4845" spans="1:11" ht="42" customHeight="1">
      <c r="A4845" s="4" t="s">
        <v>11635</v>
      </c>
      <c r="B4845" s="5" t="s">
        <v>11635</v>
      </c>
      <c r="C4845" s="5" t="s">
        <v>17</v>
      </c>
      <c r="D4845" s="5" t="s">
        <v>18</v>
      </c>
      <c r="E4845" s="5" t="s">
        <v>794</v>
      </c>
      <c r="F4845" s="9">
        <v>42</v>
      </c>
      <c r="G4845" s="9">
        <v>472</v>
      </c>
      <c r="H4845" s="5" t="s">
        <v>20</v>
      </c>
      <c r="I4845" s="5" t="s">
        <v>11636</v>
      </c>
      <c r="J4845" s="12" t="str">
        <f>HYPERLINK("https://www.boe.es/gazeta/dias/1804/05/25/pdfs/GMD-1804-42.pdf#page=10","Abrir facsímil")</f>
        <v>Abrir facsímil</v>
      </c>
      <c r="K4845" s="15" t="s">
        <v>22</v>
      </c>
    </row>
    <row r="4846" spans="1:11" ht="42" customHeight="1">
      <c r="A4846" s="4" t="s">
        <v>11637</v>
      </c>
      <c r="B4846" s="5" t="s">
        <v>11637</v>
      </c>
      <c r="C4846" s="5" t="s">
        <v>27</v>
      </c>
      <c r="D4846" s="5" t="s">
        <v>28</v>
      </c>
      <c r="E4846" s="5" t="s">
        <v>230</v>
      </c>
      <c r="F4846" s="9">
        <v>26</v>
      </c>
      <c r="G4846" s="9">
        <v>294</v>
      </c>
      <c r="H4846" s="5" t="s">
        <v>20</v>
      </c>
      <c r="I4846" s="5" t="s">
        <v>11638</v>
      </c>
      <c r="J4846" s="12" t="str">
        <f>HYPERLINK("https://www.boe.es/gazeta/dias/1804/03/30/pdfs/GMD-1804-26.pdf#page=8","Abrir facsímil")</f>
        <v>Abrir facsímil</v>
      </c>
      <c r="K4846" s="15" t="s">
        <v>22</v>
      </c>
    </row>
    <row r="4847" spans="1:11" ht="42" customHeight="1">
      <c r="A4847" s="4" t="s">
        <v>11639</v>
      </c>
      <c r="B4847" s="5" t="s">
        <v>11639</v>
      </c>
      <c r="C4847" s="5" t="s">
        <v>198</v>
      </c>
      <c r="D4847" s="5" t="s">
        <v>66</v>
      </c>
      <c r="E4847" s="5" t="s">
        <v>388</v>
      </c>
      <c r="F4847" s="9">
        <v>18</v>
      </c>
      <c r="G4847" s="9">
        <v>199</v>
      </c>
      <c r="H4847" s="5" t="s">
        <v>20</v>
      </c>
      <c r="I4847" s="5" t="s">
        <v>11640</v>
      </c>
      <c r="J4847" s="12" t="str">
        <f>HYPERLINK("https://www.boe.es/gazeta/dias/1804/03/02/pdfs/GMD-1804-18.pdf#page=11","Abrir facsímil")</f>
        <v>Abrir facsímil</v>
      </c>
      <c r="K4847" s="15" t="s">
        <v>22</v>
      </c>
    </row>
    <row r="4848" spans="1:11" ht="42" customHeight="1">
      <c r="A4848" s="4" t="s">
        <v>11641</v>
      </c>
      <c r="B4848" s="5" t="s">
        <v>11642</v>
      </c>
      <c r="C4848" s="5" t="s">
        <v>85</v>
      </c>
      <c r="D4848" s="5" t="s">
        <v>86</v>
      </c>
      <c r="E4848" s="5" t="s">
        <v>143</v>
      </c>
      <c r="F4848" s="9">
        <v>87</v>
      </c>
      <c r="G4848" s="9">
        <v>968</v>
      </c>
      <c r="H4848" s="5" t="s">
        <v>20</v>
      </c>
      <c r="I4848" s="5" t="s">
        <v>11643</v>
      </c>
      <c r="J4848" s="12" t="str">
        <f>HYPERLINK("https://www.boe.es/gazeta/dias/1804/10/30/pdfs/GMD-1804-87.pdf#page=12","Abrir facsímil")</f>
        <v>Abrir facsímil</v>
      </c>
      <c r="K4848" s="15" t="s">
        <v>22</v>
      </c>
    </row>
    <row r="4849" spans="1:11" ht="42" customHeight="1">
      <c r="A4849" s="4" t="s">
        <v>11644</v>
      </c>
      <c r="B4849" s="5" t="s">
        <v>11644</v>
      </c>
      <c r="C4849" s="5" t="s">
        <v>57</v>
      </c>
      <c r="D4849" s="5" t="s">
        <v>58</v>
      </c>
      <c r="E4849" s="5" t="s">
        <v>857</v>
      </c>
      <c r="F4849" s="9">
        <v>28</v>
      </c>
      <c r="G4849" s="9">
        <v>304</v>
      </c>
      <c r="H4849" s="5" t="s">
        <v>20</v>
      </c>
      <c r="I4849" s="5" t="s">
        <v>11645</v>
      </c>
      <c r="J4849" s="12" t="str">
        <f>HYPERLINK("https://www.boe.es/gazeta/dias/1804/04/06/pdfs/GMD-1804-28.pdf#page=2","Abrir facsímil")</f>
        <v>Abrir facsímil</v>
      </c>
      <c r="K4849" s="15" t="s">
        <v>22</v>
      </c>
    </row>
    <row r="4850" spans="1:11" ht="42" customHeight="1">
      <c r="A4850" s="4" t="s">
        <v>11646</v>
      </c>
      <c r="B4850" s="5" t="s">
        <v>11647</v>
      </c>
      <c r="C4850" s="5" t="s">
        <v>27</v>
      </c>
      <c r="D4850" s="5" t="s">
        <v>28</v>
      </c>
      <c r="E4850" s="5" t="s">
        <v>542</v>
      </c>
      <c r="F4850" s="9">
        <v>54</v>
      </c>
      <c r="G4850" s="9">
        <v>601</v>
      </c>
      <c r="H4850" s="5" t="s">
        <v>20</v>
      </c>
      <c r="I4850" s="5" t="s">
        <v>11648</v>
      </c>
      <c r="J4850" s="12" t="str">
        <f>HYPERLINK("https://www.boe.es/gazeta/dias/1804/07/06/pdfs/GMD-1804-54.pdf#page=7","Abrir facsímil")</f>
        <v>Abrir facsímil</v>
      </c>
      <c r="K4850" s="15" t="s">
        <v>22</v>
      </c>
    </row>
    <row r="4851" spans="1:11" ht="42" customHeight="1">
      <c r="A4851" s="4" t="s">
        <v>11649</v>
      </c>
      <c r="B4851" s="5" t="s">
        <v>11650</v>
      </c>
      <c r="C4851" s="5" t="s">
        <v>120</v>
      </c>
      <c r="D4851" s="5" t="s">
        <v>121</v>
      </c>
      <c r="E4851" s="5" t="s">
        <v>33</v>
      </c>
      <c r="F4851" s="9">
        <v>48</v>
      </c>
      <c r="G4851" s="9" t="s">
        <v>819</v>
      </c>
      <c r="H4851" s="5" t="s">
        <v>20</v>
      </c>
      <c r="I4851" s="5" t="s">
        <v>11651</v>
      </c>
      <c r="J4851" s="12" t="str">
        <f>HYPERLINK("https://www.boe.es/gazeta/dias/1804/06/15/pdfs/GMD-C-1804-48.pdf#page=4","Abrir facsímil")</f>
        <v>Abrir facsímil</v>
      </c>
      <c r="K4851" s="15" t="s">
        <v>22</v>
      </c>
    </row>
    <row r="4852" spans="1:11" ht="42" customHeight="1">
      <c r="A4852" s="4" t="s">
        <v>11652</v>
      </c>
      <c r="B4852" s="5" t="s">
        <v>11653</v>
      </c>
      <c r="C4852" s="5" t="s">
        <v>57</v>
      </c>
      <c r="D4852" s="5" t="s">
        <v>58</v>
      </c>
      <c r="E4852" s="5" t="s">
        <v>736</v>
      </c>
      <c r="F4852" s="9">
        <v>83</v>
      </c>
      <c r="G4852" s="9">
        <v>915</v>
      </c>
      <c r="H4852" s="5" t="s">
        <v>20</v>
      </c>
      <c r="I4852" s="5" t="s">
        <v>11654</v>
      </c>
      <c r="J4852" s="12" t="str">
        <f>HYPERLINK("https://www.boe.es/gazeta/dias/1804/10/16/pdfs/GMD-1804-83.pdf#page=5","Abrir facsímil")</f>
        <v>Abrir facsímil</v>
      </c>
      <c r="K4852" s="15" t="s">
        <v>22</v>
      </c>
    </row>
    <row r="4853" spans="1:11" ht="42" customHeight="1">
      <c r="A4853" s="4" t="s">
        <v>11655</v>
      </c>
      <c r="B4853" s="5" t="s">
        <v>11656</v>
      </c>
      <c r="C4853" s="5" t="s">
        <v>27</v>
      </c>
      <c r="D4853" s="5" t="s">
        <v>28</v>
      </c>
      <c r="E4853" s="5" t="s">
        <v>264</v>
      </c>
      <c r="F4853" s="9">
        <v>49</v>
      </c>
      <c r="G4853" s="9">
        <v>544</v>
      </c>
      <c r="H4853" s="5" t="s">
        <v>20</v>
      </c>
      <c r="I4853" s="5" t="s">
        <v>11657</v>
      </c>
      <c r="J4853" s="12" t="str">
        <f>HYPERLINK("https://www.boe.es/gazeta/dias/1804/06/19/pdfs/GMD-1804-49.pdf#page=6","Abrir facsímil")</f>
        <v>Abrir facsímil</v>
      </c>
      <c r="K4853" s="15" t="s">
        <v>22</v>
      </c>
    </row>
    <row r="4854" spans="1:11" ht="42" customHeight="1">
      <c r="A4854" s="4" t="s">
        <v>11658</v>
      </c>
      <c r="B4854" s="5" t="s">
        <v>11659</v>
      </c>
      <c r="C4854" s="5" t="s">
        <v>85</v>
      </c>
      <c r="D4854" s="5" t="s">
        <v>86</v>
      </c>
      <c r="E4854" s="5" t="s">
        <v>226</v>
      </c>
      <c r="F4854" s="9">
        <v>17</v>
      </c>
      <c r="G4854" s="9">
        <v>188</v>
      </c>
      <c r="H4854" s="5" t="s">
        <v>20</v>
      </c>
      <c r="I4854" s="5" t="s">
        <v>11660</v>
      </c>
      <c r="J4854" s="12" t="str">
        <f>HYPERLINK("https://www.boe.es/gazeta/dias/1804/02/28/pdfs/GMD-1804-17.pdf#page=8","Abrir facsímil")</f>
        <v>Abrir facsímil</v>
      </c>
      <c r="K4854" s="15" t="s">
        <v>22</v>
      </c>
    </row>
    <row r="4855" spans="1:11" ht="42" customHeight="1">
      <c r="A4855" s="4" t="s">
        <v>11661</v>
      </c>
      <c r="B4855" s="5" t="s">
        <v>11662</v>
      </c>
      <c r="C4855" s="5" t="s">
        <v>27</v>
      </c>
      <c r="D4855" s="5" t="s">
        <v>28</v>
      </c>
      <c r="E4855" s="5" t="s">
        <v>241</v>
      </c>
      <c r="F4855" s="9">
        <v>71</v>
      </c>
      <c r="G4855" s="9">
        <v>794</v>
      </c>
      <c r="H4855" s="5" t="s">
        <v>20</v>
      </c>
      <c r="I4855" s="5" t="s">
        <v>11663</v>
      </c>
      <c r="J4855" s="12" t="str">
        <f>HYPERLINK("https://www.boe.es/gazeta/dias/1804/09/04/pdfs/GMD-1804-71.pdf#page=8","Abrir facsímil")</f>
        <v>Abrir facsímil</v>
      </c>
      <c r="K4855" s="15" t="s">
        <v>22</v>
      </c>
    </row>
    <row r="4856" spans="1:11" ht="42" customHeight="1">
      <c r="A4856" s="4" t="s">
        <v>11664</v>
      </c>
      <c r="B4856" s="5" t="s">
        <v>11665</v>
      </c>
      <c r="C4856" s="5" t="s">
        <v>27</v>
      </c>
      <c r="D4856" s="5" t="s">
        <v>28</v>
      </c>
      <c r="E4856" s="5" t="s">
        <v>199</v>
      </c>
      <c r="F4856" s="9">
        <v>46</v>
      </c>
      <c r="G4856" s="9">
        <v>512</v>
      </c>
      <c r="H4856" s="5" t="s">
        <v>20</v>
      </c>
      <c r="I4856" s="5" t="s">
        <v>11666</v>
      </c>
      <c r="J4856" s="12" t="str">
        <f>HYPERLINK("https://www.boe.es/gazeta/dias/1804/06/08/pdfs/GMD-1804-46.pdf#page=10","Abrir facsímil")</f>
        <v>Abrir facsímil</v>
      </c>
      <c r="K4856" s="15" t="s">
        <v>22</v>
      </c>
    </row>
    <row r="4857" spans="1:11" ht="42" customHeight="1">
      <c r="A4857" s="4" t="s">
        <v>11667</v>
      </c>
      <c r="B4857" s="5" t="s">
        <v>11668</v>
      </c>
      <c r="C4857" s="5" t="s">
        <v>57</v>
      </c>
      <c r="D4857" s="5" t="s">
        <v>58</v>
      </c>
      <c r="E4857" s="5" t="s">
        <v>1449</v>
      </c>
      <c r="F4857" s="9">
        <v>8</v>
      </c>
      <c r="G4857" s="9">
        <v>78</v>
      </c>
      <c r="H4857" s="5" t="s">
        <v>20</v>
      </c>
      <c r="I4857" s="5" t="s">
        <v>11669</v>
      </c>
      <c r="J4857" s="12" t="str">
        <f>HYPERLINK("https://www.boe.es/gazeta/dias/1804/01/27/pdfs/GMD-1804-8.pdf#page=2","Abrir facsímil")</f>
        <v>Abrir facsímil</v>
      </c>
      <c r="K4857" s="15" t="s">
        <v>22</v>
      </c>
    </row>
    <row r="4858" spans="1:11" ht="42" customHeight="1">
      <c r="A4858" s="4" t="s">
        <v>11670</v>
      </c>
      <c r="B4858" s="5" t="s">
        <v>11671</v>
      </c>
      <c r="C4858" s="5" t="s">
        <v>85</v>
      </c>
      <c r="D4858" s="5" t="s">
        <v>86</v>
      </c>
      <c r="E4858" s="5" t="s">
        <v>1095</v>
      </c>
      <c r="F4858" s="9">
        <v>73</v>
      </c>
      <c r="G4858" s="9">
        <v>821</v>
      </c>
      <c r="H4858" s="5" t="s">
        <v>20</v>
      </c>
      <c r="I4858" s="5" t="s">
        <v>11672</v>
      </c>
      <c r="J4858" s="12" t="str">
        <f>HYPERLINK("https://www.boe.es/gazeta/dias/1804/09/11/pdfs/GMD-1804-73.pdf#page=11","Abrir facsímil")</f>
        <v>Abrir facsímil</v>
      </c>
      <c r="K4858" s="15" t="s">
        <v>22</v>
      </c>
    </row>
    <row r="4859" spans="1:11" ht="42" customHeight="1">
      <c r="A4859" s="4" t="s">
        <v>11673</v>
      </c>
      <c r="B4859" s="5" t="s">
        <v>11674</v>
      </c>
      <c r="C4859" s="5" t="s">
        <v>27</v>
      </c>
      <c r="D4859" s="5" t="s">
        <v>28</v>
      </c>
      <c r="E4859" s="5" t="s">
        <v>272</v>
      </c>
      <c r="F4859" s="9">
        <v>30</v>
      </c>
      <c r="G4859" s="9">
        <v>332</v>
      </c>
      <c r="H4859" s="5" t="s">
        <v>20</v>
      </c>
      <c r="I4859" s="5" t="s">
        <v>11675</v>
      </c>
      <c r="J4859" s="12" t="str">
        <f>HYPERLINK("https://www.boe.es/gazeta/dias/1804/04/13/pdfs/GMD-1804-30.pdf#page=10","Abrir facsímil")</f>
        <v>Abrir facsímil</v>
      </c>
      <c r="K4859" s="15" t="s">
        <v>22</v>
      </c>
    </row>
    <row r="4860" spans="1:11" ht="42" customHeight="1">
      <c r="A4860" s="4" t="s">
        <v>11676</v>
      </c>
      <c r="B4860" s="5" t="s">
        <v>11677</v>
      </c>
      <c r="C4860" s="5" t="s">
        <v>17</v>
      </c>
      <c r="D4860" s="5" t="s">
        <v>18</v>
      </c>
      <c r="E4860" s="5" t="s">
        <v>678</v>
      </c>
      <c r="F4860" s="9">
        <v>104</v>
      </c>
      <c r="G4860" s="9">
        <v>1164</v>
      </c>
      <c r="H4860" s="5" t="s">
        <v>20</v>
      </c>
      <c r="I4860" s="5" t="s">
        <v>11678</v>
      </c>
      <c r="J4860" s="12" t="str">
        <f>HYPERLINK("https://www.boe.es/gazeta/dias/1804/12/28/pdfs/GMD-1804-104.pdf#page=12","Abrir facsímil")</f>
        <v>Abrir facsímil</v>
      </c>
      <c r="K4860" s="15" t="s">
        <v>22</v>
      </c>
    </row>
    <row r="4861" spans="1:11" ht="42" customHeight="1">
      <c r="A4861" s="4" t="s">
        <v>11679</v>
      </c>
      <c r="B4861" s="5" t="s">
        <v>11680</v>
      </c>
      <c r="C4861" s="5" t="s">
        <v>27</v>
      </c>
      <c r="D4861" s="5" t="s">
        <v>28</v>
      </c>
      <c r="E4861" s="5" t="s">
        <v>29</v>
      </c>
      <c r="F4861" s="9">
        <v>88</v>
      </c>
      <c r="G4861" s="9">
        <v>977</v>
      </c>
      <c r="H4861" s="5" t="s">
        <v>20</v>
      </c>
      <c r="I4861" s="5" t="s">
        <v>11681</v>
      </c>
      <c r="J4861" s="12" t="str">
        <f>HYPERLINK("https://www.boe.es/gazeta/dias/1804/11/02/pdfs/GMD-1804-88.pdf#page=9","Abrir facsímil")</f>
        <v>Abrir facsímil</v>
      </c>
      <c r="K4861" s="15" t="s">
        <v>22</v>
      </c>
    </row>
    <row r="4862" spans="1:11" ht="42" customHeight="1">
      <c r="A4862" s="4" t="s">
        <v>11682</v>
      </c>
      <c r="B4862" s="5" t="s">
        <v>11683</v>
      </c>
      <c r="C4862" s="5" t="s">
        <v>17</v>
      </c>
      <c r="D4862" s="5" t="s">
        <v>18</v>
      </c>
      <c r="E4862" s="5" t="s">
        <v>155</v>
      </c>
      <c r="F4862" s="9">
        <v>92</v>
      </c>
      <c r="G4862" s="9">
        <v>1023</v>
      </c>
      <c r="H4862" s="5" t="s">
        <v>20</v>
      </c>
      <c r="I4862" s="5" t="s">
        <v>11684</v>
      </c>
      <c r="J4862" s="12" t="str">
        <f>HYPERLINK("https://www.boe.es/gazeta/dias/1804/11/16/pdfs/GMD-1804-92.pdf#page=11","Abrir facsímil")</f>
        <v>Abrir facsímil</v>
      </c>
      <c r="K4862" s="15" t="s">
        <v>22</v>
      </c>
    </row>
    <row r="4863" spans="1:11" ht="42" customHeight="1">
      <c r="A4863" s="4" t="s">
        <v>11685</v>
      </c>
      <c r="B4863" s="5" t="s">
        <v>11686</v>
      </c>
      <c r="C4863" s="5" t="s">
        <v>27</v>
      </c>
      <c r="D4863" s="5" t="s">
        <v>28</v>
      </c>
      <c r="E4863" s="5" t="s">
        <v>251</v>
      </c>
      <c r="F4863" s="9">
        <v>79</v>
      </c>
      <c r="G4863" s="9">
        <v>879</v>
      </c>
      <c r="H4863" s="5" t="s">
        <v>20</v>
      </c>
      <c r="I4863" s="5" t="s">
        <v>11687</v>
      </c>
      <c r="J4863" s="12" t="str">
        <f>HYPERLINK("https://www.boe.es/gazeta/dias/1804/10/02/pdfs/GMD-1804-79.pdf#page=9","Abrir facsímil")</f>
        <v>Abrir facsímil</v>
      </c>
      <c r="K4863" s="15" t="s">
        <v>22</v>
      </c>
    </row>
    <row r="4864" spans="1:11" ht="42" customHeight="1">
      <c r="A4864" s="4" t="s">
        <v>11688</v>
      </c>
      <c r="B4864" s="5" t="s">
        <v>11689</v>
      </c>
      <c r="C4864" s="5" t="s">
        <v>27</v>
      </c>
      <c r="D4864" s="5" t="s">
        <v>28</v>
      </c>
      <c r="E4864" s="5" t="s">
        <v>143</v>
      </c>
      <c r="F4864" s="9">
        <v>87</v>
      </c>
      <c r="G4864" s="9">
        <v>963</v>
      </c>
      <c r="H4864" s="5" t="s">
        <v>20</v>
      </c>
      <c r="I4864" s="5" t="s">
        <v>11690</v>
      </c>
      <c r="J4864" s="12" t="str">
        <f>HYPERLINK("https://www.boe.es/gazeta/dias/1804/10/30/pdfs/GMD-1804-87.pdf#page=7","Abrir facsímil")</f>
        <v>Abrir facsímil</v>
      </c>
      <c r="K4864" s="15" t="s">
        <v>22</v>
      </c>
    </row>
    <row r="4865" spans="1:11" ht="42" customHeight="1">
      <c r="A4865" s="4" t="s">
        <v>11691</v>
      </c>
      <c r="B4865" s="5" t="s">
        <v>11692</v>
      </c>
      <c r="C4865" s="5" t="s">
        <v>27</v>
      </c>
      <c r="D4865" s="5" t="s">
        <v>28</v>
      </c>
      <c r="E4865" s="5" t="s">
        <v>350</v>
      </c>
      <c r="F4865" s="9">
        <v>19</v>
      </c>
      <c r="G4865" s="9">
        <v>210</v>
      </c>
      <c r="H4865" s="5" t="s">
        <v>20</v>
      </c>
      <c r="I4865" s="5" t="s">
        <v>11693</v>
      </c>
      <c r="J4865" s="12" t="str">
        <f>HYPERLINK("https://www.boe.es/gazeta/dias/1804/03/06/pdfs/GMD-1804-19.pdf#page=10","Abrir facsímil")</f>
        <v>Abrir facsímil</v>
      </c>
      <c r="K4865" s="15" t="s">
        <v>22</v>
      </c>
    </row>
    <row r="4866" spans="1:11" ht="42" customHeight="1">
      <c r="A4866" s="4" t="s">
        <v>11694</v>
      </c>
      <c r="B4866" s="5" t="s">
        <v>11695</v>
      </c>
      <c r="C4866" s="5" t="s">
        <v>27</v>
      </c>
      <c r="D4866" s="5" t="s">
        <v>28</v>
      </c>
      <c r="E4866" s="5" t="s">
        <v>147</v>
      </c>
      <c r="F4866" s="9">
        <v>77</v>
      </c>
      <c r="G4866" s="9">
        <v>859</v>
      </c>
      <c r="H4866" s="5" t="s">
        <v>20</v>
      </c>
      <c r="I4866" s="5" t="s">
        <v>11696</v>
      </c>
      <c r="J4866" s="12" t="str">
        <f>HYPERLINK("https://www.boe.es/gazeta/dias/1804/09/25/pdfs/GMD-1804-77.pdf#page=9","Abrir facsímil")</f>
        <v>Abrir facsímil</v>
      </c>
      <c r="K4866" s="15" t="s">
        <v>22</v>
      </c>
    </row>
    <row r="4867" spans="1:11" ht="42" customHeight="1">
      <c r="A4867" s="4" t="s">
        <v>11694</v>
      </c>
      <c r="B4867" s="5" t="s">
        <v>11695</v>
      </c>
      <c r="C4867" s="5" t="s">
        <v>27</v>
      </c>
      <c r="D4867" s="5" t="s">
        <v>28</v>
      </c>
      <c r="E4867" s="5" t="s">
        <v>709</v>
      </c>
      <c r="F4867" s="9">
        <v>82</v>
      </c>
      <c r="G4867" s="9">
        <v>906</v>
      </c>
      <c r="H4867" s="5" t="s">
        <v>20</v>
      </c>
      <c r="I4867" s="5" t="s">
        <v>11697</v>
      </c>
      <c r="J4867" s="12" t="str">
        <f>HYPERLINK("https://www.boe.es/gazeta/dias/1804/10/12/pdfs/GMD-1804-82.pdf#page=8","Abrir facsímil")</f>
        <v>Abrir facsímil</v>
      </c>
      <c r="K4867" s="15" t="s">
        <v>22</v>
      </c>
    </row>
    <row r="4868" spans="1:11" ht="42" customHeight="1">
      <c r="A4868" s="4" t="s">
        <v>11698</v>
      </c>
      <c r="B4868" s="5" t="s">
        <v>11699</v>
      </c>
      <c r="C4868" s="5" t="s">
        <v>120</v>
      </c>
      <c r="D4868" s="5" t="s">
        <v>121</v>
      </c>
      <c r="E4868" s="5" t="s">
        <v>33</v>
      </c>
      <c r="F4868" s="9">
        <v>48</v>
      </c>
      <c r="G4868" s="9" t="s">
        <v>122</v>
      </c>
      <c r="H4868" s="5" t="s">
        <v>20</v>
      </c>
      <c r="I4868" s="5" t="s">
        <v>11700</v>
      </c>
      <c r="J4868" s="12" t="str">
        <f>HYPERLINK("https://www.boe.es/gazeta/dias/1804/06/15/pdfs/GMD-C-1804-48.pdf#page=3","Abrir facsímil")</f>
        <v>Abrir facsímil</v>
      </c>
      <c r="K4868" s="15" t="s">
        <v>22</v>
      </c>
    </row>
    <row r="4869" spans="1:11" ht="42" customHeight="1">
      <c r="A4869" s="4" t="s">
        <v>11701</v>
      </c>
      <c r="B4869" s="5" t="s">
        <v>11702</v>
      </c>
      <c r="C4869" s="5" t="s">
        <v>27</v>
      </c>
      <c r="D4869" s="5" t="s">
        <v>28</v>
      </c>
      <c r="E4869" s="5" t="s">
        <v>81</v>
      </c>
      <c r="F4869" s="9">
        <v>98</v>
      </c>
      <c r="G4869" s="9">
        <v>1088</v>
      </c>
      <c r="H4869" s="5" t="s">
        <v>20</v>
      </c>
      <c r="I4869" s="5" t="s">
        <v>11703</v>
      </c>
      <c r="J4869" s="12" t="str">
        <f>HYPERLINK("https://www.boe.es/gazeta/dias/1804/12/07/pdfs/GMD-1804-98.pdf#page=4","Abrir facsímil")</f>
        <v>Abrir facsímil</v>
      </c>
      <c r="K4869" s="15" t="s">
        <v>22</v>
      </c>
    </row>
    <row r="4870" spans="1:11" ht="42" customHeight="1">
      <c r="A4870" s="4" t="s">
        <v>11704</v>
      </c>
      <c r="B4870" s="5" t="s">
        <v>11705</v>
      </c>
      <c r="C4870" s="5" t="s">
        <v>65</v>
      </c>
      <c r="D4870" s="5" t="s">
        <v>66</v>
      </c>
      <c r="E4870" s="5" t="s">
        <v>59</v>
      </c>
      <c r="F4870" s="9">
        <v>55</v>
      </c>
      <c r="G4870" s="9">
        <v>613</v>
      </c>
      <c r="H4870" s="5" t="s">
        <v>20</v>
      </c>
      <c r="I4870" s="5" t="s">
        <v>11706</v>
      </c>
      <c r="J4870" s="12" t="str">
        <f>HYPERLINK("https://www.boe.es/gazeta/dias/1804/07/10/pdfs/GMD-1804-55.pdf#page=11","Abrir facsímil")</f>
        <v>Abrir facsímil</v>
      </c>
      <c r="K4870" s="15" t="s">
        <v>22</v>
      </c>
    </row>
    <row r="4871" spans="1:11" ht="42" customHeight="1">
      <c r="A4871" s="4" t="s">
        <v>11707</v>
      </c>
      <c r="B4871" s="5" t="s">
        <v>11708</v>
      </c>
      <c r="C4871" s="5" t="s">
        <v>17</v>
      </c>
      <c r="D4871" s="5" t="s">
        <v>18</v>
      </c>
      <c r="E4871" s="5" t="s">
        <v>143</v>
      </c>
      <c r="F4871" s="9">
        <v>87</v>
      </c>
      <c r="G4871" s="9">
        <v>965</v>
      </c>
      <c r="H4871" s="5" t="s">
        <v>20</v>
      </c>
      <c r="I4871" s="5" t="s">
        <v>11709</v>
      </c>
      <c r="J4871" s="12" t="str">
        <f>HYPERLINK("https://www.boe.es/gazeta/dias/1804/10/30/pdfs/GMD-1804-87.pdf#page=9","Abrir facsímil")</f>
        <v>Abrir facsímil</v>
      </c>
      <c r="K4871" s="15" t="s">
        <v>22</v>
      </c>
    </row>
    <row r="4872" spans="1:11" ht="42" customHeight="1">
      <c r="A4872" s="4" t="s">
        <v>11710</v>
      </c>
      <c r="B4872" s="5" t="s">
        <v>11711</v>
      </c>
      <c r="C4872" s="5" t="s">
        <v>17</v>
      </c>
      <c r="D4872" s="5" t="s">
        <v>18</v>
      </c>
      <c r="E4872" s="5" t="s">
        <v>241</v>
      </c>
      <c r="F4872" s="9">
        <v>71</v>
      </c>
      <c r="G4872" s="9">
        <v>791</v>
      </c>
      <c r="H4872" s="5" t="s">
        <v>20</v>
      </c>
      <c r="I4872" s="5" t="s">
        <v>11712</v>
      </c>
      <c r="J4872" s="12" t="str">
        <f>HYPERLINK("https://www.boe.es/gazeta/dias/1804/09/04/pdfs/GMD-1804-71.pdf#page=5","Abrir facsímil")</f>
        <v>Abrir facsímil</v>
      </c>
      <c r="K4872" s="15" t="s">
        <v>22</v>
      </c>
    </row>
    <row r="4873" spans="1:11" ht="42" customHeight="1">
      <c r="A4873" s="4" t="s">
        <v>11713</v>
      </c>
      <c r="B4873" s="5" t="s">
        <v>11714</v>
      </c>
      <c r="C4873" s="5" t="s">
        <v>27</v>
      </c>
      <c r="D4873" s="5" t="s">
        <v>28</v>
      </c>
      <c r="E4873" s="5" t="s">
        <v>71</v>
      </c>
      <c r="F4873" s="9">
        <v>99</v>
      </c>
      <c r="G4873" s="9">
        <v>1106</v>
      </c>
      <c r="H4873" s="5" t="s">
        <v>20</v>
      </c>
      <c r="I4873" s="5" t="s">
        <v>11715</v>
      </c>
      <c r="J4873" s="12" t="str">
        <f>HYPERLINK("https://www.boe.es/gazeta/dias/1804/12/11/pdfs/GMD-1804-99.pdf#page=6","Abrir facsímil")</f>
        <v>Abrir facsímil</v>
      </c>
      <c r="K4873" s="15" t="s">
        <v>22</v>
      </c>
    </row>
    <row r="4874" spans="1:11" ht="42" customHeight="1">
      <c r="A4874" s="4" t="s">
        <v>11716</v>
      </c>
      <c r="B4874" s="5" t="s">
        <v>11717</v>
      </c>
      <c r="C4874" s="5" t="s">
        <v>17</v>
      </c>
      <c r="D4874" s="5" t="s">
        <v>18</v>
      </c>
      <c r="E4874" s="5" t="s">
        <v>136</v>
      </c>
      <c r="F4874" s="9">
        <v>23</v>
      </c>
      <c r="G4874" s="9">
        <v>265</v>
      </c>
      <c r="H4874" s="5" t="s">
        <v>20</v>
      </c>
      <c r="I4874" s="5" t="s">
        <v>11718</v>
      </c>
      <c r="J4874" s="12" t="str">
        <f>HYPERLINK("https://www.boe.es/gazeta/dias/1804/03/20/pdfs/GMD-1804-23.pdf#page=11","Abrir facsímil")</f>
        <v>Abrir facsímil</v>
      </c>
      <c r="K4874" s="15" t="s">
        <v>22</v>
      </c>
    </row>
    <row r="4875" spans="1:11" ht="42" customHeight="1">
      <c r="A4875" s="4" t="s">
        <v>11719</v>
      </c>
      <c r="B4875" s="5" t="s">
        <v>11720</v>
      </c>
      <c r="C4875" s="5" t="s">
        <v>17</v>
      </c>
      <c r="D4875" s="5" t="s">
        <v>18</v>
      </c>
      <c r="E4875" s="5" t="s">
        <v>71</v>
      </c>
      <c r="F4875" s="9">
        <v>99</v>
      </c>
      <c r="G4875" s="9">
        <v>1107</v>
      </c>
      <c r="H4875" s="5" t="s">
        <v>20</v>
      </c>
      <c r="I4875" s="5" t="s">
        <v>11721</v>
      </c>
      <c r="J4875" s="12" t="str">
        <f>HYPERLINK("https://www.boe.es/gazeta/dias/1804/12/11/pdfs/GMD-1804-99.pdf#page=7","Abrir facsímil")</f>
        <v>Abrir facsímil</v>
      </c>
      <c r="K4875" s="15" t="s">
        <v>22</v>
      </c>
    </row>
    <row r="4876" spans="1:11" ht="42" customHeight="1">
      <c r="A4876" s="4" t="s">
        <v>11722</v>
      </c>
      <c r="B4876" s="5" t="s">
        <v>11723</v>
      </c>
      <c r="C4876" s="5" t="s">
        <v>27</v>
      </c>
      <c r="D4876" s="5" t="s">
        <v>28</v>
      </c>
      <c r="E4876" s="5" t="s">
        <v>163</v>
      </c>
      <c r="F4876" s="9">
        <v>70</v>
      </c>
      <c r="G4876" s="9">
        <v>784</v>
      </c>
      <c r="H4876" s="5" t="s">
        <v>20</v>
      </c>
      <c r="I4876" s="5" t="s">
        <v>11724</v>
      </c>
      <c r="J4876" s="12" t="str">
        <f>HYPERLINK("https://www.boe.es/gazeta/dias/1804/08/31/pdfs/GMD-1804-70.pdf#page=6","Abrir facsímil")</f>
        <v>Abrir facsímil</v>
      </c>
      <c r="K4876" s="15" t="s">
        <v>22</v>
      </c>
    </row>
    <row r="4877" spans="1:11" ht="42" customHeight="1">
      <c r="A4877" s="4" t="s">
        <v>11725</v>
      </c>
      <c r="B4877" s="5" t="s">
        <v>11726</v>
      </c>
      <c r="C4877" s="5" t="s">
        <v>27</v>
      </c>
      <c r="D4877" s="5" t="s">
        <v>28</v>
      </c>
      <c r="E4877" s="5" t="s">
        <v>339</v>
      </c>
      <c r="F4877" s="9">
        <v>94</v>
      </c>
      <c r="G4877" s="9">
        <v>1038</v>
      </c>
      <c r="H4877" s="5" t="s">
        <v>20</v>
      </c>
      <c r="I4877" s="5" t="s">
        <v>11727</v>
      </c>
      <c r="J4877" s="12" t="str">
        <f>HYPERLINK("https://www.boe.es/gazeta/dias/1804/11/23/pdfs/GMD-1804-94.pdf#page=6","Abrir facsímil")</f>
        <v>Abrir facsímil</v>
      </c>
      <c r="K4877" s="15" t="s">
        <v>22</v>
      </c>
    </row>
    <row r="4878" spans="1:11" ht="42" customHeight="1">
      <c r="A4878" s="4" t="s">
        <v>11728</v>
      </c>
      <c r="B4878" s="5" t="s">
        <v>11729</v>
      </c>
      <c r="C4878" s="5" t="s">
        <v>57</v>
      </c>
      <c r="D4878" s="5" t="s">
        <v>58</v>
      </c>
      <c r="E4878" s="5" t="s">
        <v>97</v>
      </c>
      <c r="F4878" s="9">
        <v>50</v>
      </c>
      <c r="G4878" s="9">
        <v>551</v>
      </c>
      <c r="H4878" s="5" t="s">
        <v>20</v>
      </c>
      <c r="I4878" s="5" t="s">
        <v>11730</v>
      </c>
      <c r="J4878" s="12" t="str">
        <f>HYPERLINK("https://www.boe.es/gazeta/dias/1804/06/22/pdfs/GMD-1804-50.pdf#page=5","Abrir facsímil")</f>
        <v>Abrir facsímil</v>
      </c>
      <c r="K4878" s="15" t="s">
        <v>22</v>
      </c>
    </row>
    <row r="4879" spans="1:11" ht="42" customHeight="1">
      <c r="A4879" s="4" t="s">
        <v>11731</v>
      </c>
      <c r="B4879" s="5" t="s">
        <v>11732</v>
      </c>
      <c r="C4879" s="5" t="s">
        <v>27</v>
      </c>
      <c r="D4879" s="5" t="s">
        <v>28</v>
      </c>
      <c r="E4879" s="5" t="s">
        <v>50</v>
      </c>
      <c r="F4879" s="9">
        <v>93</v>
      </c>
      <c r="G4879" s="9">
        <v>1027</v>
      </c>
      <c r="H4879" s="5" t="s">
        <v>20</v>
      </c>
      <c r="I4879" s="5" t="s">
        <v>11733</v>
      </c>
      <c r="J4879" s="12" t="str">
        <f>HYPERLINK("https://www.boe.es/gazeta/dias/1804/11/20/pdfs/GMD-1804-93.pdf#page=3","Abrir facsímil")</f>
        <v>Abrir facsímil</v>
      </c>
      <c r="K4879" s="15" t="s">
        <v>22</v>
      </c>
    </row>
    <row r="4880" spans="1:11" ht="42" customHeight="1">
      <c r="A4880" s="4" t="s">
        <v>11734</v>
      </c>
      <c r="B4880" s="5" t="s">
        <v>11735</v>
      </c>
      <c r="C4880" s="5" t="s">
        <v>65</v>
      </c>
      <c r="D4880" s="5" t="s">
        <v>66</v>
      </c>
      <c r="E4880" s="5" t="s">
        <v>226</v>
      </c>
      <c r="F4880" s="9">
        <v>17</v>
      </c>
      <c r="G4880" s="9">
        <v>186</v>
      </c>
      <c r="H4880" s="5" t="s">
        <v>20</v>
      </c>
      <c r="I4880" s="5" t="s">
        <v>11736</v>
      </c>
      <c r="J4880" s="12" t="str">
        <f>HYPERLINK("https://www.boe.es/gazeta/dias/1804/02/28/pdfs/GMD-1804-17.pdf#page=6","Abrir facsímil")</f>
        <v>Abrir facsímil</v>
      </c>
      <c r="K4880" s="15" t="s">
        <v>22</v>
      </c>
    </row>
    <row r="4881" spans="1:11" ht="42" customHeight="1">
      <c r="A4881" s="4" t="s">
        <v>11737</v>
      </c>
      <c r="B4881" s="5" t="s">
        <v>11738</v>
      </c>
      <c r="C4881" s="5" t="s">
        <v>27</v>
      </c>
      <c r="D4881" s="5" t="s">
        <v>28</v>
      </c>
      <c r="E4881" s="5" t="s">
        <v>298</v>
      </c>
      <c r="F4881" s="9">
        <v>10</v>
      </c>
      <c r="G4881" s="9">
        <v>108</v>
      </c>
      <c r="H4881" s="5" t="s">
        <v>20</v>
      </c>
      <c r="I4881" s="5" t="s">
        <v>11739</v>
      </c>
      <c r="J4881" s="12" t="str">
        <f>HYPERLINK("https://www.boe.es/gazeta/dias/1804/02/03/pdfs/GMD-1804-10.pdf#page=8","Abrir facsímil")</f>
        <v>Abrir facsímil</v>
      </c>
      <c r="K4881" s="15" t="s">
        <v>22</v>
      </c>
    </row>
    <row r="4882" spans="1:11" ht="42" customHeight="1">
      <c r="A4882" s="4" t="s">
        <v>11740</v>
      </c>
      <c r="B4882" s="5" t="s">
        <v>11741</v>
      </c>
      <c r="C4882" s="5" t="s">
        <v>65</v>
      </c>
      <c r="D4882" s="5" t="s">
        <v>66</v>
      </c>
      <c r="E4882" s="5" t="s">
        <v>542</v>
      </c>
      <c r="F4882" s="9">
        <v>54</v>
      </c>
      <c r="G4882" s="9">
        <v>601</v>
      </c>
      <c r="H4882" s="5" t="s">
        <v>20</v>
      </c>
      <c r="I4882" s="5" t="s">
        <v>11742</v>
      </c>
      <c r="J4882" s="12" t="str">
        <f>HYPERLINK("https://www.boe.es/gazeta/dias/1804/07/06/pdfs/GMD-1804-54.pdf#page=7","Abrir facsímil")</f>
        <v>Abrir facsímil</v>
      </c>
      <c r="K4882" s="15" t="s">
        <v>22</v>
      </c>
    </row>
    <row r="4883" spans="1:11" ht="42" customHeight="1">
      <c r="A4883" s="4" t="s">
        <v>11743</v>
      </c>
      <c r="B4883" s="5" t="s">
        <v>11744</v>
      </c>
      <c r="C4883" s="5" t="s">
        <v>17</v>
      </c>
      <c r="D4883" s="5" t="s">
        <v>18</v>
      </c>
      <c r="E4883" s="5" t="s">
        <v>132</v>
      </c>
      <c r="F4883" s="9">
        <v>52</v>
      </c>
      <c r="G4883" s="9">
        <v>576</v>
      </c>
      <c r="H4883" s="5" t="s">
        <v>20</v>
      </c>
      <c r="I4883" s="5" t="s">
        <v>11745</v>
      </c>
      <c r="J4883" s="12" t="str">
        <f>HYPERLINK("https://www.boe.es/gazeta/dias/1804/06/29/pdfs/GMD-1804-52.pdf#page=10","Abrir facsímil")</f>
        <v>Abrir facsímil</v>
      </c>
      <c r="K4883" s="15" t="s">
        <v>22</v>
      </c>
    </row>
    <row r="4884" spans="1:11" ht="42" customHeight="1">
      <c r="A4884" s="4" t="s">
        <v>11746</v>
      </c>
      <c r="B4884" s="5" t="s">
        <v>11747</v>
      </c>
      <c r="C4884" s="5" t="s">
        <v>17</v>
      </c>
      <c r="D4884" s="5" t="s">
        <v>18</v>
      </c>
      <c r="E4884" s="5" t="s">
        <v>421</v>
      </c>
      <c r="F4884" s="9">
        <v>47</v>
      </c>
      <c r="G4884" s="9">
        <v>527</v>
      </c>
      <c r="H4884" s="5" t="s">
        <v>20</v>
      </c>
      <c r="I4884" s="5" t="s">
        <v>11748</v>
      </c>
      <c r="J4884" s="12" t="str">
        <f>HYPERLINK("https://www.boe.es/gazeta/dias/1804/06/12/pdfs/GMD-1804-47.pdf#page=9","Abrir facsímil")</f>
        <v>Abrir facsímil</v>
      </c>
      <c r="K4884" s="15" t="s">
        <v>22</v>
      </c>
    </row>
    <row r="4885" spans="1:11" ht="42" customHeight="1">
      <c r="A4885" s="4" t="s">
        <v>11749</v>
      </c>
      <c r="B4885" s="5" t="s">
        <v>11750</v>
      </c>
      <c r="C4885" s="5" t="s">
        <v>27</v>
      </c>
      <c r="D4885" s="5" t="s">
        <v>28</v>
      </c>
      <c r="E4885" s="5" t="s">
        <v>251</v>
      </c>
      <c r="F4885" s="9">
        <v>79</v>
      </c>
      <c r="G4885" s="9">
        <v>879</v>
      </c>
      <c r="H4885" s="5" t="s">
        <v>20</v>
      </c>
      <c r="I4885" s="5" t="s">
        <v>11751</v>
      </c>
      <c r="J4885" s="12" t="str">
        <f>HYPERLINK("https://www.boe.es/gazeta/dias/1804/10/02/pdfs/GMD-1804-79.pdf#page=9","Abrir facsímil")</f>
        <v>Abrir facsímil</v>
      </c>
      <c r="K4885" s="15" t="s">
        <v>22</v>
      </c>
    </row>
    <row r="4886" spans="1:11" ht="42" customHeight="1">
      <c r="A4886" s="4" t="s">
        <v>11752</v>
      </c>
      <c r="B4886" s="5" t="s">
        <v>11753</v>
      </c>
      <c r="C4886" s="5" t="s">
        <v>27</v>
      </c>
      <c r="D4886" s="5" t="s">
        <v>28</v>
      </c>
      <c r="E4886" s="5" t="s">
        <v>354</v>
      </c>
      <c r="F4886" s="9">
        <v>1</v>
      </c>
      <c r="G4886" s="9">
        <v>10</v>
      </c>
      <c r="H4886" s="5" t="s">
        <v>20</v>
      </c>
      <c r="I4886" s="5" t="s">
        <v>11754</v>
      </c>
      <c r="J4886" s="12" t="str">
        <f>HYPERLINK("https://www.boe.es/gazeta/dias/1804/01/03/pdfs/GMD-1804-1.pdf#page=10","Abrir facsímil")</f>
        <v>Abrir facsímil</v>
      </c>
      <c r="K4886" s="15" t="s">
        <v>22</v>
      </c>
    </row>
    <row r="4887" spans="1:11" ht="42" customHeight="1">
      <c r="A4887" s="4" t="s">
        <v>11755</v>
      </c>
      <c r="B4887" s="5" t="s">
        <v>11756</v>
      </c>
      <c r="C4887" s="5" t="s">
        <v>27</v>
      </c>
      <c r="D4887" s="5" t="s">
        <v>28</v>
      </c>
      <c r="E4887" s="5" t="s">
        <v>163</v>
      </c>
      <c r="F4887" s="9">
        <v>70</v>
      </c>
      <c r="G4887" s="9">
        <v>784</v>
      </c>
      <c r="H4887" s="5" t="s">
        <v>20</v>
      </c>
      <c r="I4887" s="5" t="s">
        <v>11757</v>
      </c>
      <c r="J4887" s="12" t="str">
        <f>HYPERLINK("https://www.boe.es/gazeta/dias/1804/08/31/pdfs/GMD-1804-70.pdf#page=6","Abrir facsímil")</f>
        <v>Abrir facsímil</v>
      </c>
      <c r="K4887" s="15" t="s">
        <v>22</v>
      </c>
    </row>
    <row r="4888" spans="1:11" ht="42" customHeight="1">
      <c r="A4888" s="4" t="s">
        <v>11758</v>
      </c>
      <c r="B4888" s="5" t="s">
        <v>11759</v>
      </c>
      <c r="C4888" s="5" t="s">
        <v>17</v>
      </c>
      <c r="D4888" s="5" t="s">
        <v>18</v>
      </c>
      <c r="E4888" s="5" t="s">
        <v>19</v>
      </c>
      <c r="F4888" s="9">
        <v>60</v>
      </c>
      <c r="G4888" s="9">
        <v>667</v>
      </c>
      <c r="H4888" s="5" t="s">
        <v>20</v>
      </c>
      <c r="I4888" s="5" t="s">
        <v>11760</v>
      </c>
      <c r="J4888" s="12" t="str">
        <f>HYPERLINK("https://www.boe.es/gazeta/dias/1804/07/27/pdfs/GMD-1804-60.pdf#page=9","Abrir facsímil")</f>
        <v>Abrir facsímil</v>
      </c>
      <c r="K4888" s="15" t="s">
        <v>22</v>
      </c>
    </row>
    <row r="4889" spans="1:11" ht="42" customHeight="1">
      <c r="A4889" s="4" t="s">
        <v>11761</v>
      </c>
      <c r="B4889" s="5" t="s">
        <v>11762</v>
      </c>
      <c r="C4889" s="5" t="s">
        <v>17</v>
      </c>
      <c r="D4889" s="5" t="s">
        <v>18</v>
      </c>
      <c r="E4889" s="5" t="s">
        <v>421</v>
      </c>
      <c r="F4889" s="9">
        <v>47</v>
      </c>
      <c r="G4889" s="9">
        <v>525</v>
      </c>
      <c r="H4889" s="5" t="s">
        <v>20</v>
      </c>
      <c r="I4889" s="5" t="s">
        <v>11763</v>
      </c>
      <c r="J4889" s="12" t="str">
        <f>HYPERLINK("https://www.boe.es/gazeta/dias/1804/06/12/pdfs/GMD-1804-47.pdf#page=7","Abrir facsímil")</f>
        <v>Abrir facsímil</v>
      </c>
      <c r="K4889" s="15" t="s">
        <v>22</v>
      </c>
    </row>
    <row r="4890" spans="1:11" ht="42" customHeight="1">
      <c r="A4890" s="4" t="s">
        <v>11764</v>
      </c>
      <c r="B4890" s="5" t="s">
        <v>11765</v>
      </c>
      <c r="C4890" s="5" t="s">
        <v>85</v>
      </c>
      <c r="D4890" s="5" t="s">
        <v>86</v>
      </c>
      <c r="E4890" s="5" t="s">
        <v>388</v>
      </c>
      <c r="F4890" s="9">
        <v>18</v>
      </c>
      <c r="G4890" s="9">
        <v>200</v>
      </c>
      <c r="H4890" s="5" t="s">
        <v>20</v>
      </c>
      <c r="I4890" s="5" t="s">
        <v>11766</v>
      </c>
      <c r="J4890" s="12" t="str">
        <f>HYPERLINK("https://www.boe.es/gazeta/dias/1804/03/02/pdfs/GMD-1804-18.pdf#page=12","Abrir facsímil")</f>
        <v>Abrir facsímil</v>
      </c>
      <c r="K4890" s="15" t="s">
        <v>22</v>
      </c>
    </row>
    <row r="4891" spans="1:11" ht="42" customHeight="1">
      <c r="A4891" s="4" t="s">
        <v>11767</v>
      </c>
      <c r="B4891" s="5" t="s">
        <v>11768</v>
      </c>
      <c r="C4891" s="5" t="s">
        <v>85</v>
      </c>
      <c r="D4891" s="5" t="s">
        <v>86</v>
      </c>
      <c r="E4891" s="5" t="s">
        <v>427</v>
      </c>
      <c r="F4891" s="9">
        <v>80</v>
      </c>
      <c r="G4891" s="9">
        <v>890</v>
      </c>
      <c r="H4891" s="5" t="s">
        <v>20</v>
      </c>
      <c r="I4891" s="5" t="s">
        <v>11769</v>
      </c>
      <c r="J4891" s="12" t="str">
        <f>HYPERLINK("https://www.boe.es/gazeta/dias/1804/10/05/pdfs/GMD-1804-80.pdf#page=8","Abrir facsímil")</f>
        <v>Abrir facsímil</v>
      </c>
      <c r="K4891" s="15" t="s">
        <v>22</v>
      </c>
    </row>
    <row r="4892" spans="1:11" ht="42" customHeight="1">
      <c r="A4892" s="4" t="s">
        <v>11770</v>
      </c>
      <c r="B4892" s="5" t="s">
        <v>11770</v>
      </c>
      <c r="C4892" s="5" t="s">
        <v>17</v>
      </c>
      <c r="D4892" s="5" t="s">
        <v>18</v>
      </c>
      <c r="E4892" s="5" t="s">
        <v>109</v>
      </c>
      <c r="F4892" s="9">
        <v>35</v>
      </c>
      <c r="G4892" s="9">
        <v>386</v>
      </c>
      <c r="H4892" s="5" t="s">
        <v>20</v>
      </c>
      <c r="I4892" s="5" t="s">
        <v>11771</v>
      </c>
      <c r="J4892" s="12" t="str">
        <f>HYPERLINK("https://www.boe.es/gazeta/dias/1804/05/01/pdfs/GMD-1804-35.pdf#page=8","Abrir facsímil")</f>
        <v>Abrir facsímil</v>
      </c>
      <c r="K4892" s="15" t="s">
        <v>22</v>
      </c>
    </row>
    <row r="4893" spans="1:11" ht="42" customHeight="1">
      <c r="A4893" s="4" t="s">
        <v>11770</v>
      </c>
      <c r="B4893" s="5" t="s">
        <v>11770</v>
      </c>
      <c r="C4893" s="5" t="s">
        <v>57</v>
      </c>
      <c r="D4893" s="5" t="s">
        <v>58</v>
      </c>
      <c r="E4893" s="5" t="s">
        <v>33</v>
      </c>
      <c r="F4893" s="9">
        <v>48</v>
      </c>
      <c r="G4893" s="9">
        <v>532</v>
      </c>
      <c r="H4893" s="5" t="s">
        <v>20</v>
      </c>
      <c r="I4893" s="5" t="s">
        <v>11772</v>
      </c>
      <c r="J4893" s="12" t="str">
        <f>HYPERLINK("https://www.boe.es/gazeta/dias/1804/06/15/pdfs/GMD-1804-48.pdf#page=2","Abrir facsímil")</f>
        <v>Abrir facsímil</v>
      </c>
      <c r="K4893" s="15" t="s">
        <v>22</v>
      </c>
    </row>
    <row r="4894" spans="1:11" ht="42" customHeight="1">
      <c r="A4894" s="4" t="s">
        <v>11770</v>
      </c>
      <c r="B4894" s="5" t="s">
        <v>11770</v>
      </c>
      <c r="C4894" s="5" t="s">
        <v>17</v>
      </c>
      <c r="D4894" s="5" t="s">
        <v>18</v>
      </c>
      <c r="E4894" s="5" t="s">
        <v>950</v>
      </c>
      <c r="F4894" s="9">
        <v>90</v>
      </c>
      <c r="G4894" s="9">
        <v>995</v>
      </c>
      <c r="H4894" s="5" t="s">
        <v>20</v>
      </c>
      <c r="I4894" s="5" t="s">
        <v>11773</v>
      </c>
      <c r="J4894" s="12" t="str">
        <f>HYPERLINK("https://www.boe.es/gazeta/dias/1804/11/09/pdfs/GMD-1804-90.pdf#page=3","Abrir facsímil")</f>
        <v>Abrir facsímil</v>
      </c>
      <c r="K4894" s="15" t="s">
        <v>22</v>
      </c>
    </row>
    <row r="4895" spans="1:11" ht="42" customHeight="1">
      <c r="A4895" s="4" t="s">
        <v>11770</v>
      </c>
      <c r="B4895" s="5" t="s">
        <v>11770</v>
      </c>
      <c r="C4895" s="5" t="s">
        <v>17</v>
      </c>
      <c r="D4895" s="5" t="s">
        <v>18</v>
      </c>
      <c r="E4895" s="5" t="s">
        <v>678</v>
      </c>
      <c r="F4895" s="9">
        <v>104</v>
      </c>
      <c r="G4895" s="9">
        <v>1158</v>
      </c>
      <c r="H4895" s="5" t="s">
        <v>20</v>
      </c>
      <c r="I4895" s="5" t="s">
        <v>11774</v>
      </c>
      <c r="J4895" s="12" t="str">
        <f>HYPERLINK("https://www.boe.es/gazeta/dias/1804/12/28/pdfs/GMD-1804-104.pdf#page=6","Abrir facsímil")</f>
        <v>Abrir facsímil</v>
      </c>
      <c r="K4895" s="15" t="s">
        <v>22</v>
      </c>
    </row>
    <row r="4896" spans="1:11" ht="42" customHeight="1">
      <c r="A4896" s="4" t="s">
        <v>11775</v>
      </c>
      <c r="B4896" s="5" t="s">
        <v>11775</v>
      </c>
      <c r="C4896" s="5" t="s">
        <v>57</v>
      </c>
      <c r="D4896" s="5" t="s">
        <v>58</v>
      </c>
      <c r="E4896" s="5" t="s">
        <v>199</v>
      </c>
      <c r="F4896" s="9">
        <v>46</v>
      </c>
      <c r="G4896" s="9">
        <v>506</v>
      </c>
      <c r="H4896" s="5" t="s">
        <v>20</v>
      </c>
      <c r="I4896" s="5" t="s">
        <v>11776</v>
      </c>
      <c r="J4896" s="12" t="str">
        <f>HYPERLINK("https://www.boe.es/gazeta/dias/1804/06/08/pdfs/GMD-1804-46.pdf#page=4","Abrir facsímil")</f>
        <v>Abrir facsímil</v>
      </c>
      <c r="K4896" s="15" t="s">
        <v>22</v>
      </c>
    </row>
    <row r="4897" spans="1:11" ht="42" customHeight="1">
      <c r="A4897" s="4" t="s">
        <v>11777</v>
      </c>
      <c r="B4897" s="5" t="s">
        <v>11778</v>
      </c>
      <c r="C4897" s="5" t="s">
        <v>17</v>
      </c>
      <c r="D4897" s="5" t="s">
        <v>18</v>
      </c>
      <c r="E4897" s="5" t="s">
        <v>71</v>
      </c>
      <c r="F4897" s="9">
        <v>99</v>
      </c>
      <c r="G4897" s="9">
        <v>1106</v>
      </c>
      <c r="H4897" s="5" t="s">
        <v>20</v>
      </c>
      <c r="I4897" s="5" t="s">
        <v>11779</v>
      </c>
      <c r="J4897" s="12" t="str">
        <f>HYPERLINK("https://www.boe.es/gazeta/dias/1804/12/11/pdfs/GMD-1804-99.pdf#page=6","Abrir facsímil")</f>
        <v>Abrir facsímil</v>
      </c>
      <c r="K4897" s="15" t="s">
        <v>22</v>
      </c>
    </row>
    <row r="4898" spans="1:11" ht="42" customHeight="1">
      <c r="A4898" s="4" t="s">
        <v>11780</v>
      </c>
      <c r="B4898" s="5" t="s">
        <v>11781</v>
      </c>
      <c r="C4898" s="5" t="s">
        <v>65</v>
      </c>
      <c r="D4898" s="5" t="s">
        <v>66</v>
      </c>
      <c r="E4898" s="5" t="s">
        <v>511</v>
      </c>
      <c r="F4898" s="9">
        <v>12</v>
      </c>
      <c r="G4898" s="9">
        <v>125</v>
      </c>
      <c r="H4898" s="5" t="s">
        <v>20</v>
      </c>
      <c r="I4898" s="5" t="s">
        <v>11782</v>
      </c>
      <c r="J4898" s="12" t="str">
        <f>HYPERLINK("https://www.boe.es/gazeta/dias/1804/02/10/pdfs/GMD-1804-12.pdf#page=1","Abrir facsímil")</f>
        <v>Abrir facsímil</v>
      </c>
      <c r="K4898" s="15" t="s">
        <v>22</v>
      </c>
    </row>
    <row r="4899" spans="1:11" ht="42" customHeight="1">
      <c r="A4899" s="4" t="s">
        <v>11783</v>
      </c>
      <c r="B4899" s="5" t="s">
        <v>11784</v>
      </c>
      <c r="C4899" s="5" t="s">
        <v>57</v>
      </c>
      <c r="D4899" s="5" t="s">
        <v>58</v>
      </c>
      <c r="E4899" s="5" t="s">
        <v>378</v>
      </c>
      <c r="F4899" s="9">
        <v>65</v>
      </c>
      <c r="G4899" s="9">
        <v>723</v>
      </c>
      <c r="H4899" s="5" t="s">
        <v>20</v>
      </c>
      <c r="I4899" s="5" t="s">
        <v>11785</v>
      </c>
      <c r="J4899" s="12" t="str">
        <f>HYPERLINK("https://www.boe.es/gazeta/dias/1804/08/14/pdfs/GMD-1804-65.pdf#page=1","Abrir facsímil")</f>
        <v>Abrir facsímil</v>
      </c>
      <c r="K4899" s="15" t="s">
        <v>22</v>
      </c>
    </row>
    <row r="4900" spans="1:11" ht="42" customHeight="1">
      <c r="A4900" s="4" t="s">
        <v>11783</v>
      </c>
      <c r="B4900" s="5" t="s">
        <v>11784</v>
      </c>
      <c r="C4900" s="5" t="s">
        <v>27</v>
      </c>
      <c r="D4900" s="5" t="s">
        <v>28</v>
      </c>
      <c r="E4900" s="5" t="s">
        <v>782</v>
      </c>
      <c r="F4900" s="9">
        <v>75</v>
      </c>
      <c r="G4900" s="9">
        <v>839</v>
      </c>
      <c r="H4900" s="5" t="s">
        <v>20</v>
      </c>
      <c r="I4900" s="5" t="s">
        <v>11786</v>
      </c>
      <c r="J4900" s="12" t="str">
        <f>HYPERLINK("https://www.boe.es/gazeta/dias/1804/09/18/pdfs/GMD-1804-75.pdf#page=5","Abrir facsímil")</f>
        <v>Abrir facsímil</v>
      </c>
      <c r="K4900" s="15" t="s">
        <v>22</v>
      </c>
    </row>
    <row r="4901" spans="1:11" ht="42" customHeight="1">
      <c r="A4901" s="4" t="s">
        <v>11787</v>
      </c>
      <c r="B4901" s="5" t="s">
        <v>11788</v>
      </c>
      <c r="C4901" s="5" t="s">
        <v>57</v>
      </c>
      <c r="D4901" s="5" t="s">
        <v>58</v>
      </c>
      <c r="E4901" s="5" t="s">
        <v>111</v>
      </c>
      <c r="F4901" s="9">
        <v>40</v>
      </c>
      <c r="G4901" s="9">
        <v>440</v>
      </c>
      <c r="H4901" s="5" t="s">
        <v>20</v>
      </c>
      <c r="I4901" s="5" t="s">
        <v>11789</v>
      </c>
      <c r="J4901" s="12" t="str">
        <f>HYPERLINK("https://www.boe.es/gazeta/dias/1804/05/18/pdfs/GMD-1804-40.pdf#page=2","Abrir facsímil")</f>
        <v>Abrir facsímil</v>
      </c>
      <c r="K4901" s="15" t="s">
        <v>22</v>
      </c>
    </row>
    <row r="4902" spans="1:11" ht="42" customHeight="1">
      <c r="A4902" s="4" t="s">
        <v>11790</v>
      </c>
      <c r="B4902" s="5" t="s">
        <v>11791</v>
      </c>
      <c r="C4902" s="5" t="s">
        <v>27</v>
      </c>
      <c r="D4902" s="5" t="s">
        <v>28</v>
      </c>
      <c r="E4902" s="5" t="s">
        <v>339</v>
      </c>
      <c r="F4902" s="9">
        <v>94</v>
      </c>
      <c r="G4902" s="9">
        <v>1035</v>
      </c>
      <c r="H4902" s="5" t="s">
        <v>20</v>
      </c>
      <c r="I4902" s="5" t="s">
        <v>11792</v>
      </c>
      <c r="J4902" s="12" t="str">
        <f>HYPERLINK("https://www.boe.es/gazeta/dias/1804/11/23/pdfs/GMD-1804-94.pdf#page=3","Abrir facsímil")</f>
        <v>Abrir facsímil</v>
      </c>
      <c r="K4902" s="15" t="s">
        <v>22</v>
      </c>
    </row>
    <row r="4903" spans="1:11" ht="42" customHeight="1">
      <c r="A4903" s="4" t="s">
        <v>11793</v>
      </c>
      <c r="B4903" s="5" t="s">
        <v>11794</v>
      </c>
      <c r="C4903" s="5" t="s">
        <v>27</v>
      </c>
      <c r="D4903" s="5" t="s">
        <v>28</v>
      </c>
      <c r="E4903" s="5" t="s">
        <v>332</v>
      </c>
      <c r="F4903" s="9">
        <v>66</v>
      </c>
      <c r="G4903" s="9">
        <v>740</v>
      </c>
      <c r="H4903" s="5" t="s">
        <v>20</v>
      </c>
      <c r="I4903" s="5" t="s">
        <v>11795</v>
      </c>
      <c r="J4903" s="12" t="str">
        <f>HYPERLINK("https://www.boe.es/gazeta/dias/1804/08/17/pdfs/GMD-1804-66.pdf#page=6","Abrir facsímil")</f>
        <v>Abrir facsímil</v>
      </c>
      <c r="K4903" s="15" t="s">
        <v>22</v>
      </c>
    </row>
    <row r="4904" spans="1:11" ht="42" customHeight="1">
      <c r="A4904" s="4" t="s">
        <v>11796</v>
      </c>
      <c r="B4904" s="5" t="s">
        <v>11797</v>
      </c>
      <c r="C4904" s="5" t="s">
        <v>17</v>
      </c>
      <c r="D4904" s="5" t="s">
        <v>18</v>
      </c>
      <c r="E4904" s="5" t="s">
        <v>37</v>
      </c>
      <c r="F4904" s="9">
        <v>29</v>
      </c>
      <c r="G4904" s="9">
        <v>322</v>
      </c>
      <c r="H4904" s="5" t="s">
        <v>20</v>
      </c>
      <c r="I4904" s="5" t="s">
        <v>11798</v>
      </c>
      <c r="J4904" s="12" t="str">
        <f>HYPERLINK("https://www.boe.es/gazeta/dias/1804/04/10/pdfs/GMD-1804-29.pdf#page=12","Abrir facsímil")</f>
        <v>Abrir facsímil</v>
      </c>
      <c r="K4904" s="15" t="s">
        <v>22</v>
      </c>
    </row>
    <row r="4905" spans="1:11" ht="42" customHeight="1">
      <c r="A4905" s="4" t="s">
        <v>11799</v>
      </c>
      <c r="B4905" s="5" t="s">
        <v>11800</v>
      </c>
      <c r="C4905" s="5" t="s">
        <v>27</v>
      </c>
      <c r="D4905" s="5" t="s">
        <v>28</v>
      </c>
      <c r="E4905" s="5" t="s">
        <v>576</v>
      </c>
      <c r="F4905" s="9">
        <v>85</v>
      </c>
      <c r="G4905" s="9">
        <v>935</v>
      </c>
      <c r="H4905" s="5" t="s">
        <v>20</v>
      </c>
      <c r="I4905" s="5" t="s">
        <v>11801</v>
      </c>
      <c r="J4905" s="12" t="str">
        <f>HYPERLINK("https://www.boe.es/gazeta/dias/1804/10/23/pdfs/GMD-1804-85.pdf#page=5","Abrir facsímil")</f>
        <v>Abrir facsímil</v>
      </c>
      <c r="K4905" s="15" t="s">
        <v>22</v>
      </c>
    </row>
    <row r="4906" spans="1:11" ht="42" customHeight="1">
      <c r="A4906" s="4" t="s">
        <v>11802</v>
      </c>
      <c r="B4906" s="5" t="s">
        <v>11802</v>
      </c>
      <c r="C4906" s="5" t="s">
        <v>57</v>
      </c>
      <c r="D4906" s="5" t="s">
        <v>58</v>
      </c>
      <c r="E4906" s="5" t="s">
        <v>54</v>
      </c>
      <c r="F4906" s="9">
        <v>63</v>
      </c>
      <c r="G4906" s="9">
        <v>696</v>
      </c>
      <c r="H4906" s="5" t="s">
        <v>20</v>
      </c>
      <c r="I4906" s="5" t="s">
        <v>11803</v>
      </c>
      <c r="J4906" s="12" t="str">
        <f>HYPERLINK("https://www.boe.es/gazeta/dias/1804/08/07/pdfs/GMD-1804-63.pdf#page=6","Abrir facsímil")</f>
        <v>Abrir facsímil</v>
      </c>
      <c r="K4906" s="15" t="s">
        <v>22</v>
      </c>
    </row>
    <row r="4907" spans="1:11" ht="42" customHeight="1">
      <c r="A4907" s="4" t="s">
        <v>11804</v>
      </c>
      <c r="B4907" s="5" t="s">
        <v>11805</v>
      </c>
      <c r="C4907" s="5" t="s">
        <v>27</v>
      </c>
      <c r="D4907" s="5" t="s">
        <v>28</v>
      </c>
      <c r="E4907" s="5" t="s">
        <v>587</v>
      </c>
      <c r="F4907" s="9">
        <v>62</v>
      </c>
      <c r="G4907" s="9">
        <v>682</v>
      </c>
      <c r="H4907" s="5" t="s">
        <v>20</v>
      </c>
      <c r="I4907" s="5" t="s">
        <v>11806</v>
      </c>
      <c r="J4907" s="12" t="str">
        <f>HYPERLINK("https://www.boe.es/gazeta/dias/1804/08/03/pdfs/GMD-1804-62.pdf#page=4","Abrir facsímil")</f>
        <v>Abrir facsímil</v>
      </c>
      <c r="K4907" s="15" t="s">
        <v>22</v>
      </c>
    </row>
    <row r="4908" spans="1:11" ht="42" customHeight="1">
      <c r="A4908" s="4" t="s">
        <v>11807</v>
      </c>
      <c r="B4908" s="5" t="s">
        <v>11808</v>
      </c>
      <c r="C4908" s="5" t="s">
        <v>27</v>
      </c>
      <c r="D4908" s="5" t="s">
        <v>28</v>
      </c>
      <c r="E4908" s="5" t="s">
        <v>234</v>
      </c>
      <c r="F4908" s="9">
        <v>86</v>
      </c>
      <c r="G4908" s="9">
        <v>948</v>
      </c>
      <c r="H4908" s="5" t="s">
        <v>20</v>
      </c>
      <c r="I4908" s="5" t="s">
        <v>11809</v>
      </c>
      <c r="J4908" s="12" t="str">
        <f>HYPERLINK("https://www.boe.es/gazeta/dias/1804/10/26/pdfs/GMD-1804-86.pdf#page=6","Abrir facsímil")</f>
        <v>Abrir facsímil</v>
      </c>
      <c r="K4908" s="15" t="s">
        <v>22</v>
      </c>
    </row>
    <row r="4909" spans="1:11" ht="42" customHeight="1">
      <c r="A4909" s="4" t="s">
        <v>11810</v>
      </c>
      <c r="B4909" s="5" t="s">
        <v>11811</v>
      </c>
      <c r="C4909" s="5" t="s">
        <v>57</v>
      </c>
      <c r="D4909" s="5" t="s">
        <v>58</v>
      </c>
      <c r="E4909" s="5" t="s">
        <v>140</v>
      </c>
      <c r="F4909" s="9">
        <v>39</v>
      </c>
      <c r="G4909" s="9">
        <v>431</v>
      </c>
      <c r="H4909" s="5" t="s">
        <v>20</v>
      </c>
      <c r="I4909" s="5" t="s">
        <v>11812</v>
      </c>
      <c r="J4909" s="12" t="str">
        <f>HYPERLINK("https://www.boe.es/gazeta/dias/1804/05/15/pdfs/GMD-1804-39.pdf#page=5","Abrir facsímil")</f>
        <v>Abrir facsímil</v>
      </c>
      <c r="K4909" s="15" t="s">
        <v>22</v>
      </c>
    </row>
    <row r="4910" spans="1:11" ht="42" customHeight="1">
      <c r="A4910" s="4" t="s">
        <v>11810</v>
      </c>
      <c r="B4910" s="5" t="s">
        <v>11811</v>
      </c>
      <c r="C4910" s="5" t="s">
        <v>17</v>
      </c>
      <c r="D4910" s="5" t="s">
        <v>18</v>
      </c>
      <c r="E4910" s="5" t="s">
        <v>421</v>
      </c>
      <c r="F4910" s="9">
        <v>47</v>
      </c>
      <c r="G4910" s="9">
        <v>522</v>
      </c>
      <c r="H4910" s="5" t="s">
        <v>20</v>
      </c>
      <c r="I4910" s="5" t="s">
        <v>11813</v>
      </c>
      <c r="J4910" s="12" t="str">
        <f>HYPERLINK("https://www.boe.es/gazeta/dias/1804/06/12/pdfs/GMD-1804-47.pdf#page=4","Abrir facsímil")</f>
        <v>Abrir facsímil</v>
      </c>
      <c r="K4910" s="15" t="s">
        <v>22</v>
      </c>
    </row>
    <row r="4911" spans="1:11" ht="42" customHeight="1">
      <c r="A4911" s="4" t="s">
        <v>11810</v>
      </c>
      <c r="B4911" s="5" t="s">
        <v>11811</v>
      </c>
      <c r="C4911" s="5" t="s">
        <v>57</v>
      </c>
      <c r="D4911" s="5" t="s">
        <v>58</v>
      </c>
      <c r="E4911" s="5" t="s">
        <v>33</v>
      </c>
      <c r="F4911" s="9">
        <v>48</v>
      </c>
      <c r="G4911" s="9">
        <v>532</v>
      </c>
      <c r="H4911" s="5" t="s">
        <v>20</v>
      </c>
      <c r="I4911" s="5" t="s">
        <v>11814</v>
      </c>
      <c r="J4911" s="12" t="str">
        <f>HYPERLINK("https://www.boe.es/gazeta/dias/1804/06/15/pdfs/GMD-1804-48.pdf#page=2","Abrir facsímil")</f>
        <v>Abrir facsímil</v>
      </c>
      <c r="K4911" s="15" t="s">
        <v>22</v>
      </c>
    </row>
    <row r="4912" spans="1:11" ht="42" customHeight="1">
      <c r="A4912" s="4" t="s">
        <v>11815</v>
      </c>
      <c r="B4912" s="5" t="s">
        <v>11815</v>
      </c>
      <c r="C4912" s="5" t="s">
        <v>57</v>
      </c>
      <c r="D4912" s="5" t="s">
        <v>58</v>
      </c>
      <c r="E4912" s="5" t="s">
        <v>538</v>
      </c>
      <c r="F4912" s="9">
        <v>27</v>
      </c>
      <c r="G4912" s="9">
        <v>298</v>
      </c>
      <c r="H4912" s="5" t="s">
        <v>20</v>
      </c>
      <c r="I4912" s="5" t="s">
        <v>11816</v>
      </c>
      <c r="J4912" s="12" t="str">
        <f>HYPERLINK("https://www.boe.es/gazeta/dias/1804/04/03/pdfs/GMD-1804-27.pdf#page=4","Abrir facsímil")</f>
        <v>Abrir facsímil</v>
      </c>
      <c r="K4912" s="15" t="s">
        <v>22</v>
      </c>
    </row>
    <row r="4913" spans="1:11" ht="42" customHeight="1">
      <c r="A4913" s="4" t="s">
        <v>11817</v>
      </c>
      <c r="B4913" s="5" t="s">
        <v>11817</v>
      </c>
      <c r="C4913" s="5" t="s">
        <v>57</v>
      </c>
      <c r="D4913" s="5" t="s">
        <v>58</v>
      </c>
      <c r="E4913" s="5" t="s">
        <v>147</v>
      </c>
      <c r="F4913" s="9">
        <v>77</v>
      </c>
      <c r="G4913" s="9">
        <v>855</v>
      </c>
      <c r="H4913" s="5" t="s">
        <v>20</v>
      </c>
      <c r="I4913" s="5" t="s">
        <v>11818</v>
      </c>
      <c r="J4913" s="12" t="str">
        <f>HYPERLINK("https://www.boe.es/gazeta/dias/1804/09/25/pdfs/GMD-1804-77.pdf#page=5","Abrir facsímil")</f>
        <v>Abrir facsímil</v>
      </c>
      <c r="K4913" s="15" t="s">
        <v>22</v>
      </c>
    </row>
    <row r="4914" spans="1:11" ht="42" customHeight="1">
      <c r="A4914" s="4" t="s">
        <v>11819</v>
      </c>
      <c r="B4914" s="5" t="s">
        <v>11819</v>
      </c>
      <c r="C4914" s="5" t="s">
        <v>57</v>
      </c>
      <c r="D4914" s="5" t="s">
        <v>58</v>
      </c>
      <c r="E4914" s="5" t="s">
        <v>272</v>
      </c>
      <c r="F4914" s="9">
        <v>30</v>
      </c>
      <c r="G4914" s="9">
        <v>323</v>
      </c>
      <c r="H4914" s="5" t="s">
        <v>20</v>
      </c>
      <c r="I4914" s="5" t="s">
        <v>11820</v>
      </c>
      <c r="J4914" s="12" t="str">
        <f>HYPERLINK("https://www.boe.es/gazeta/dias/1804/04/13/pdfs/GMD-1804-30.pdf#page=1","Abrir facsímil")</f>
        <v>Abrir facsímil</v>
      </c>
      <c r="K4914" s="15" t="s">
        <v>22</v>
      </c>
    </row>
    <row r="4915" spans="1:11" ht="42" customHeight="1">
      <c r="A4915" s="4" t="s">
        <v>11821</v>
      </c>
      <c r="B4915" s="5" t="s">
        <v>11821</v>
      </c>
      <c r="C4915" s="5" t="s">
        <v>57</v>
      </c>
      <c r="D4915" s="5" t="s">
        <v>58</v>
      </c>
      <c r="E4915" s="5" t="s">
        <v>245</v>
      </c>
      <c r="F4915" s="9">
        <v>6</v>
      </c>
      <c r="G4915" s="9">
        <v>50</v>
      </c>
      <c r="H4915" s="5" t="s">
        <v>20</v>
      </c>
      <c r="I4915" s="5" t="s">
        <v>11822</v>
      </c>
      <c r="J4915" s="12" t="str">
        <f>HYPERLINK("https://www.boe.es/gazeta/dias/1804/01/20/pdfs/GMD-1804-6.pdf#page=2","Abrir facsímil")</f>
        <v>Abrir facsímil</v>
      </c>
      <c r="K4915" s="15" t="s">
        <v>22</v>
      </c>
    </row>
    <row r="4916" spans="1:11" ht="42" customHeight="1">
      <c r="A4916" s="4" t="s">
        <v>11823</v>
      </c>
      <c r="B4916" s="5" t="s">
        <v>11824</v>
      </c>
      <c r="C4916" s="5" t="s">
        <v>27</v>
      </c>
      <c r="D4916" s="5" t="s">
        <v>28</v>
      </c>
      <c r="E4916" s="5" t="s">
        <v>191</v>
      </c>
      <c r="F4916" s="9">
        <v>101</v>
      </c>
      <c r="G4916" s="9">
        <v>1128</v>
      </c>
      <c r="H4916" s="5" t="s">
        <v>20</v>
      </c>
      <c r="I4916" s="5" t="s">
        <v>11825</v>
      </c>
      <c r="J4916" s="12" t="str">
        <f>HYPERLINK("https://www.boe.es/gazeta/dias/1804/12/18/pdfs/GMD-1804-101.pdf#page=8","Abrir facsímil")</f>
        <v>Abrir facsímil</v>
      </c>
      <c r="K4916" s="15" t="s">
        <v>22</v>
      </c>
    </row>
    <row r="4917" spans="1:11" ht="42" customHeight="1">
      <c r="A4917" s="4" t="s">
        <v>11826</v>
      </c>
      <c r="B4917" s="5" t="s">
        <v>11827</v>
      </c>
      <c r="C4917" s="5" t="s">
        <v>17</v>
      </c>
      <c r="D4917" s="5" t="s">
        <v>18</v>
      </c>
      <c r="E4917" s="5" t="s">
        <v>37</v>
      </c>
      <c r="F4917" s="9">
        <v>29</v>
      </c>
      <c r="G4917" s="9">
        <v>318</v>
      </c>
      <c r="H4917" s="5" t="s">
        <v>20</v>
      </c>
      <c r="I4917" s="5" t="s">
        <v>11828</v>
      </c>
      <c r="J4917" s="12" t="str">
        <f>HYPERLINK("https://www.boe.es/gazeta/dias/1804/04/10/pdfs/GMD-1804-29.pdf#page=8","Abrir facsímil")</f>
        <v>Abrir facsímil</v>
      </c>
      <c r="K4917" s="15" t="s">
        <v>22</v>
      </c>
    </row>
    <row r="4918" spans="1:11" ht="42" customHeight="1">
      <c r="A4918" s="4" t="s">
        <v>11829</v>
      </c>
      <c r="B4918" s="5" t="s">
        <v>11830</v>
      </c>
      <c r="C4918" s="5" t="s">
        <v>17</v>
      </c>
      <c r="D4918" s="5" t="s">
        <v>18</v>
      </c>
      <c r="E4918" s="5" t="s">
        <v>43</v>
      </c>
      <c r="F4918" s="9">
        <v>84</v>
      </c>
      <c r="G4918" s="9">
        <v>928</v>
      </c>
      <c r="H4918" s="5" t="s">
        <v>20</v>
      </c>
      <c r="I4918" s="5" t="s">
        <v>11831</v>
      </c>
      <c r="J4918" s="12" t="str">
        <f>HYPERLINK("https://www.boe.es/gazeta/dias/1804/10/19/pdfs/GMD-1804-84.pdf#page=6","Abrir facsímil")</f>
        <v>Abrir facsímil</v>
      </c>
      <c r="K4918" s="15" t="s">
        <v>22</v>
      </c>
    </row>
    <row r="4919" spans="1:11" ht="42" customHeight="1">
      <c r="A4919" s="4" t="s">
        <v>11832</v>
      </c>
      <c r="B4919" s="5" t="s">
        <v>11833</v>
      </c>
      <c r="C4919" s="5" t="s">
        <v>17</v>
      </c>
      <c r="D4919" s="5" t="s">
        <v>18</v>
      </c>
      <c r="E4919" s="5" t="s">
        <v>67</v>
      </c>
      <c r="F4919" s="9">
        <v>59</v>
      </c>
      <c r="G4919" s="9">
        <v>656</v>
      </c>
      <c r="H4919" s="5" t="s">
        <v>20</v>
      </c>
      <c r="I4919" s="5" t="s">
        <v>11834</v>
      </c>
      <c r="J4919" s="12" t="str">
        <f>HYPERLINK("https://www.boe.es/gazeta/dias/1804/07/24/pdfs/GMD-1804-59.pdf#page=10","Abrir facsímil")</f>
        <v>Abrir facsímil</v>
      </c>
      <c r="K4919" s="15" t="s">
        <v>22</v>
      </c>
    </row>
    <row r="4920" spans="1:11" ht="42" customHeight="1">
      <c r="A4920" s="4" t="s">
        <v>11835</v>
      </c>
      <c r="B4920" s="5" t="s">
        <v>11836</v>
      </c>
      <c r="C4920" s="5" t="s">
        <v>65</v>
      </c>
      <c r="D4920" s="5" t="s">
        <v>66</v>
      </c>
      <c r="E4920" s="5" t="s">
        <v>67</v>
      </c>
      <c r="F4920" s="9">
        <v>59</v>
      </c>
      <c r="G4920" s="9">
        <v>656</v>
      </c>
      <c r="H4920" s="5" t="s">
        <v>20</v>
      </c>
      <c r="I4920" s="5" t="s">
        <v>11837</v>
      </c>
      <c r="J4920" s="12" t="str">
        <f>HYPERLINK("https://www.boe.es/gazeta/dias/1804/07/24/pdfs/GMD-1804-59.pdf#page=10","Abrir facsímil")</f>
        <v>Abrir facsímil</v>
      </c>
      <c r="K4920" s="15" t="s">
        <v>22</v>
      </c>
    </row>
    <row r="4921" spans="1:11" ht="42" customHeight="1">
      <c r="A4921" s="4" t="s">
        <v>11838</v>
      </c>
      <c r="B4921" s="5" t="s">
        <v>11839</v>
      </c>
      <c r="C4921" s="5" t="s">
        <v>27</v>
      </c>
      <c r="D4921" s="5" t="s">
        <v>28</v>
      </c>
      <c r="E4921" s="5" t="s">
        <v>23</v>
      </c>
      <c r="F4921" s="9">
        <v>91</v>
      </c>
      <c r="G4921" s="9">
        <v>1009</v>
      </c>
      <c r="H4921" s="5" t="s">
        <v>20</v>
      </c>
      <c r="I4921" s="5" t="s">
        <v>11840</v>
      </c>
      <c r="J4921" s="12" t="str">
        <f>HYPERLINK("https://www.boe.es/gazeta/dias/1804/11/13/pdfs/GMD-1804-91.pdf#page=9","Abrir facsímil")</f>
        <v>Abrir facsímil</v>
      </c>
      <c r="K4921" s="15" t="s">
        <v>22</v>
      </c>
    </row>
    <row r="4922" spans="1:11" ht="42" customHeight="1">
      <c r="A4922" s="4" t="s">
        <v>11841</v>
      </c>
      <c r="B4922" s="5" t="s">
        <v>11842</v>
      </c>
      <c r="C4922" s="5" t="s">
        <v>27</v>
      </c>
      <c r="D4922" s="5" t="s">
        <v>28</v>
      </c>
      <c r="E4922" s="5" t="s">
        <v>736</v>
      </c>
      <c r="F4922" s="9">
        <v>83</v>
      </c>
      <c r="G4922" s="9">
        <v>919</v>
      </c>
      <c r="H4922" s="5" t="s">
        <v>20</v>
      </c>
      <c r="I4922" s="5" t="s">
        <v>11843</v>
      </c>
      <c r="J4922" s="12" t="str">
        <f>HYPERLINK("https://www.boe.es/gazeta/dias/1804/10/16/pdfs/GMD-1804-83.pdf#page=9","Abrir facsímil")</f>
        <v>Abrir facsímil</v>
      </c>
      <c r="K4922" s="15" t="s">
        <v>22</v>
      </c>
    </row>
    <row r="4923" spans="1:11" ht="42" customHeight="1">
      <c r="A4923" s="4" t="s">
        <v>11844</v>
      </c>
      <c r="B4923" s="5" t="s">
        <v>11845</v>
      </c>
      <c r="C4923" s="5" t="s">
        <v>57</v>
      </c>
      <c r="D4923" s="5" t="s">
        <v>58</v>
      </c>
      <c r="E4923" s="5" t="s">
        <v>800</v>
      </c>
      <c r="F4923" s="9">
        <v>45</v>
      </c>
      <c r="G4923" s="9">
        <v>491</v>
      </c>
      <c r="H4923" s="5" t="s">
        <v>20</v>
      </c>
      <c r="I4923" s="5" t="s">
        <v>11846</v>
      </c>
      <c r="J4923" s="12" t="str">
        <f>HYPERLINK("https://www.boe.es/gazeta/dias/1804/06/05/pdfs/GMD-1804-45.pdf#page=1","Abrir facsímil")</f>
        <v>Abrir facsímil</v>
      </c>
      <c r="K4923" s="15" t="s">
        <v>22</v>
      </c>
    </row>
    <row r="4924" spans="1:11" ht="42" customHeight="1">
      <c r="A4924" s="4" t="s">
        <v>11847</v>
      </c>
      <c r="B4924" s="5" t="s">
        <v>11848</v>
      </c>
      <c r="C4924" s="5" t="s">
        <v>57</v>
      </c>
      <c r="D4924" s="5" t="s">
        <v>58</v>
      </c>
      <c r="E4924" s="5" t="s">
        <v>857</v>
      </c>
      <c r="F4924" s="9">
        <v>28</v>
      </c>
      <c r="G4924" s="9">
        <v>303</v>
      </c>
      <c r="H4924" s="5" t="s">
        <v>20</v>
      </c>
      <c r="I4924" s="5" t="s">
        <v>11849</v>
      </c>
      <c r="J4924" s="12" t="str">
        <f>HYPERLINK("https://www.boe.es/gazeta/dias/1804/04/06/pdfs/GMD-1804-28.pdf#page=1","Abrir facsímil")</f>
        <v>Abrir facsímil</v>
      </c>
      <c r="K4924" s="15" t="s">
        <v>22</v>
      </c>
    </row>
    <row r="4925" spans="1:11" ht="42" customHeight="1">
      <c r="A4925" s="4" t="s">
        <v>11850</v>
      </c>
      <c r="B4925" s="5" t="s">
        <v>11850</v>
      </c>
      <c r="C4925" s="5" t="s">
        <v>57</v>
      </c>
      <c r="D4925" s="5" t="s">
        <v>58</v>
      </c>
      <c r="E4925" s="5" t="s">
        <v>350</v>
      </c>
      <c r="F4925" s="9">
        <v>19</v>
      </c>
      <c r="G4925" s="9">
        <v>202</v>
      </c>
      <c r="H4925" s="5" t="s">
        <v>20</v>
      </c>
      <c r="I4925" s="5" t="s">
        <v>11851</v>
      </c>
      <c r="J4925" s="12" t="str">
        <f>HYPERLINK("https://www.boe.es/gazeta/dias/1804/03/06/pdfs/GMD-1804-19.pdf#page=2","Abrir facsímil")</f>
        <v>Abrir facsímil</v>
      </c>
      <c r="K4925" s="15" t="s">
        <v>22</v>
      </c>
    </row>
    <row r="4926" spans="1:11" ht="42" customHeight="1">
      <c r="A4926" s="4" t="s">
        <v>11852</v>
      </c>
      <c r="B4926" s="5" t="s">
        <v>11852</v>
      </c>
      <c r="C4926" s="5" t="s">
        <v>27</v>
      </c>
      <c r="D4926" s="5" t="s">
        <v>28</v>
      </c>
      <c r="E4926" s="5" t="s">
        <v>61</v>
      </c>
      <c r="F4926" s="9">
        <v>61</v>
      </c>
      <c r="G4926" s="9">
        <v>676</v>
      </c>
      <c r="H4926" s="5" t="s">
        <v>20</v>
      </c>
      <c r="I4926" s="5" t="s">
        <v>11853</v>
      </c>
      <c r="J4926" s="12" t="str">
        <f>HYPERLINK("https://www.boe.es/gazeta/dias/1804/07/31/pdfs/GMD-1804-61.pdf#page=6","Abrir facsímil")</f>
        <v>Abrir facsímil</v>
      </c>
      <c r="K4926" s="15" t="s">
        <v>22</v>
      </c>
    </row>
    <row r="4927" spans="1:11" ht="42" customHeight="1">
      <c r="A4927" s="4" t="s">
        <v>11854</v>
      </c>
      <c r="B4927" s="5" t="s">
        <v>11855</v>
      </c>
      <c r="C4927" s="5" t="s">
        <v>17</v>
      </c>
      <c r="D4927" s="5" t="s">
        <v>18</v>
      </c>
      <c r="E4927" s="5" t="s">
        <v>332</v>
      </c>
      <c r="F4927" s="9">
        <v>66</v>
      </c>
      <c r="G4927" s="9">
        <v>740</v>
      </c>
      <c r="H4927" s="5" t="s">
        <v>20</v>
      </c>
      <c r="I4927" s="5" t="s">
        <v>11856</v>
      </c>
      <c r="J4927" s="12" t="str">
        <f>HYPERLINK("https://www.boe.es/gazeta/dias/1804/08/17/pdfs/GMD-1804-66.pdf#page=6","Abrir facsímil")</f>
        <v>Abrir facsímil</v>
      </c>
      <c r="K4927" s="15" t="s">
        <v>22</v>
      </c>
    </row>
    <row r="4928" spans="1:11" ht="42" customHeight="1">
      <c r="A4928" s="4" t="s">
        <v>11857</v>
      </c>
      <c r="B4928" s="5" t="s">
        <v>11858</v>
      </c>
      <c r="C4928" s="5" t="s">
        <v>65</v>
      </c>
      <c r="D4928" s="5" t="s">
        <v>66</v>
      </c>
      <c r="E4928" s="5" t="s">
        <v>453</v>
      </c>
      <c r="F4928" s="9">
        <v>33</v>
      </c>
      <c r="G4928" s="9">
        <v>366</v>
      </c>
      <c r="H4928" s="5" t="s">
        <v>20</v>
      </c>
      <c r="I4928" s="5" t="s">
        <v>11859</v>
      </c>
      <c r="J4928" s="12" t="str">
        <f>HYPERLINK("https://www.boe.es/gazeta/dias/1804/04/24/pdfs/GMD-1804-33.pdf#page=8","Abrir facsímil")</f>
        <v>Abrir facsímil</v>
      </c>
      <c r="K4928" s="15" t="s">
        <v>22</v>
      </c>
    </row>
    <row r="4929" spans="1:11" ht="42" customHeight="1">
      <c r="A4929" s="4" t="s">
        <v>11860</v>
      </c>
      <c r="B4929" s="5" t="s">
        <v>11860</v>
      </c>
      <c r="C4929" s="5" t="s">
        <v>17</v>
      </c>
      <c r="D4929" s="5" t="s">
        <v>18</v>
      </c>
      <c r="E4929" s="5" t="s">
        <v>378</v>
      </c>
      <c r="F4929" s="9">
        <v>65</v>
      </c>
      <c r="G4929" s="9">
        <v>730</v>
      </c>
      <c r="H4929" s="5" t="s">
        <v>20</v>
      </c>
      <c r="I4929" s="5" t="s">
        <v>11861</v>
      </c>
      <c r="J4929" s="12" t="str">
        <f>HYPERLINK("https://www.boe.es/gazeta/dias/1804/08/14/pdfs/GMD-1804-65.pdf#page=8","Abrir facsímil")</f>
        <v>Abrir facsímil</v>
      </c>
      <c r="K4929" s="15" t="s">
        <v>22</v>
      </c>
    </row>
    <row r="4930" spans="1:11" ht="42" customHeight="1">
      <c r="A4930" s="4" t="s">
        <v>11862</v>
      </c>
      <c r="B4930" s="5" t="s">
        <v>11863</v>
      </c>
      <c r="C4930" s="5" t="s">
        <v>17</v>
      </c>
      <c r="D4930" s="5" t="s">
        <v>18</v>
      </c>
      <c r="E4930" s="5" t="s">
        <v>950</v>
      </c>
      <c r="F4930" s="9">
        <v>90</v>
      </c>
      <c r="G4930" s="9">
        <v>999</v>
      </c>
      <c r="H4930" s="5" t="s">
        <v>20</v>
      </c>
      <c r="I4930" s="5" t="s">
        <v>11864</v>
      </c>
      <c r="J4930" s="12" t="str">
        <f>HYPERLINK("https://www.boe.es/gazeta/dias/1804/11/09/pdfs/GMD-1804-90.pdf#page=7","Abrir facsímil")</f>
        <v>Abrir facsímil</v>
      </c>
      <c r="K4930" s="15" t="s">
        <v>22</v>
      </c>
    </row>
    <row r="4931" spans="1:11" ht="42" customHeight="1">
      <c r="A4931" s="4" t="s">
        <v>11865</v>
      </c>
      <c r="B4931" s="5" t="s">
        <v>11866</v>
      </c>
      <c r="C4931" s="5" t="s">
        <v>27</v>
      </c>
      <c r="D4931" s="5" t="s">
        <v>28</v>
      </c>
      <c r="E4931" s="5" t="s">
        <v>206</v>
      </c>
      <c r="F4931" s="9">
        <v>44</v>
      </c>
      <c r="G4931" s="9">
        <v>488</v>
      </c>
      <c r="H4931" s="5" t="s">
        <v>20</v>
      </c>
      <c r="I4931" s="5" t="s">
        <v>11867</v>
      </c>
      <c r="J4931" s="12" t="str">
        <f>HYPERLINK("https://www.boe.es/gazeta/dias/1804/06/01/pdfs/GMD-1804-44.pdf#page=6","Abrir facsímil")</f>
        <v>Abrir facsímil</v>
      </c>
      <c r="K4931" s="15" t="s">
        <v>22</v>
      </c>
    </row>
    <row r="4932" spans="1:11" ht="42" customHeight="1">
      <c r="A4932" s="4" t="s">
        <v>11868</v>
      </c>
      <c r="B4932" s="5" t="s">
        <v>11868</v>
      </c>
      <c r="C4932" s="5" t="s">
        <v>27</v>
      </c>
      <c r="D4932" s="5" t="s">
        <v>28</v>
      </c>
      <c r="E4932" s="5" t="s">
        <v>1179</v>
      </c>
      <c r="F4932" s="9">
        <v>43</v>
      </c>
      <c r="G4932" s="9">
        <v>475</v>
      </c>
      <c r="H4932" s="5" t="s">
        <v>20</v>
      </c>
      <c r="I4932" s="5" t="s">
        <v>11869</v>
      </c>
      <c r="J4932" s="12" t="str">
        <f>HYPERLINK("https://www.boe.es/gazeta/dias/1804/05/29/pdfs/GMD-1804-43.pdf#page=1","Abrir facsímil")</f>
        <v>Abrir facsímil</v>
      </c>
      <c r="K4932" s="15" t="s">
        <v>22</v>
      </c>
    </row>
    <row r="4933" spans="1:11" ht="42" customHeight="1">
      <c r="A4933" s="4" t="s">
        <v>11868</v>
      </c>
      <c r="B4933" s="5" t="s">
        <v>11868</v>
      </c>
      <c r="C4933" s="5" t="s">
        <v>17</v>
      </c>
      <c r="D4933" s="5" t="s">
        <v>18</v>
      </c>
      <c r="E4933" s="5" t="s">
        <v>191</v>
      </c>
      <c r="F4933" s="9">
        <v>101</v>
      </c>
      <c r="G4933" s="9">
        <v>1127</v>
      </c>
      <c r="H4933" s="5" t="s">
        <v>20</v>
      </c>
      <c r="I4933" s="5" t="s">
        <v>11870</v>
      </c>
      <c r="J4933" s="12" t="str">
        <f>HYPERLINK("https://www.boe.es/gazeta/dias/1804/12/18/pdfs/GMD-1804-101.pdf#page=7","Abrir facsímil")</f>
        <v>Abrir facsímil</v>
      </c>
      <c r="K4933" s="15" t="s">
        <v>22</v>
      </c>
    </row>
    <row r="4934" spans="1:11" ht="42" customHeight="1">
      <c r="A4934" s="4" t="s">
        <v>11871</v>
      </c>
      <c r="B4934" s="5" t="s">
        <v>11871</v>
      </c>
      <c r="C4934" s="5" t="s">
        <v>27</v>
      </c>
      <c r="D4934" s="5" t="s">
        <v>28</v>
      </c>
      <c r="E4934" s="5" t="s">
        <v>50</v>
      </c>
      <c r="F4934" s="9">
        <v>93</v>
      </c>
      <c r="G4934" s="9">
        <v>1030</v>
      </c>
      <c r="H4934" s="5" t="s">
        <v>20</v>
      </c>
      <c r="I4934" s="5" t="s">
        <v>11872</v>
      </c>
      <c r="J4934" s="12" t="str">
        <f>HYPERLINK("https://www.boe.es/gazeta/dias/1804/11/20/pdfs/GMD-1804-93.pdf#page=6","Abrir facsímil")</f>
        <v>Abrir facsímil</v>
      </c>
      <c r="K4934" s="15" t="s">
        <v>22</v>
      </c>
    </row>
    <row r="4935" spans="1:11" ht="42" customHeight="1">
      <c r="A4935" s="4" t="s">
        <v>11873</v>
      </c>
      <c r="B4935" s="5" t="s">
        <v>11874</v>
      </c>
      <c r="C4935" s="5" t="s">
        <v>17</v>
      </c>
      <c r="D4935" s="5" t="s">
        <v>18</v>
      </c>
      <c r="E4935" s="5" t="s">
        <v>421</v>
      </c>
      <c r="F4935" s="9">
        <v>47</v>
      </c>
      <c r="G4935" s="9">
        <v>527</v>
      </c>
      <c r="H4935" s="5" t="s">
        <v>20</v>
      </c>
      <c r="I4935" s="5" t="s">
        <v>11875</v>
      </c>
      <c r="J4935" s="12" t="str">
        <f>HYPERLINK("https://www.boe.es/gazeta/dias/1804/06/12/pdfs/GMD-1804-47.pdf#page=9","Abrir facsímil")</f>
        <v>Abrir facsímil</v>
      </c>
      <c r="K4935" s="15" t="s">
        <v>22</v>
      </c>
    </row>
    <row r="4936" spans="1:11" ht="42" customHeight="1">
      <c r="A4936" s="4" t="s">
        <v>11876</v>
      </c>
      <c r="B4936" s="5" t="s">
        <v>11877</v>
      </c>
      <c r="C4936" s="5" t="s">
        <v>17</v>
      </c>
      <c r="D4936" s="5" t="s">
        <v>18</v>
      </c>
      <c r="E4936" s="5" t="s">
        <v>29</v>
      </c>
      <c r="F4936" s="9">
        <v>88</v>
      </c>
      <c r="G4936" s="9">
        <v>977</v>
      </c>
      <c r="H4936" s="5" t="s">
        <v>20</v>
      </c>
      <c r="I4936" s="5" t="s">
        <v>11878</v>
      </c>
      <c r="J4936" s="12" t="str">
        <f>HYPERLINK("https://www.boe.es/gazeta/dias/1804/11/02/pdfs/GMD-1804-88.pdf#page=9","Abrir facsímil")</f>
        <v>Abrir facsímil</v>
      </c>
      <c r="K4936" s="15" t="s">
        <v>22</v>
      </c>
    </row>
    <row r="4937" spans="1:11" ht="42" customHeight="1">
      <c r="A4937" s="4" t="s">
        <v>11879</v>
      </c>
      <c r="B4937" s="5" t="s">
        <v>11879</v>
      </c>
      <c r="C4937" s="5" t="s">
        <v>57</v>
      </c>
      <c r="D4937" s="5" t="s">
        <v>58</v>
      </c>
      <c r="E4937" s="5" t="s">
        <v>155</v>
      </c>
      <c r="F4937" s="9">
        <v>92</v>
      </c>
      <c r="G4937" s="9">
        <v>1016</v>
      </c>
      <c r="H4937" s="5" t="s">
        <v>20</v>
      </c>
      <c r="I4937" s="5" t="s">
        <v>11880</v>
      </c>
      <c r="J4937" s="12" t="str">
        <f>HYPERLINK("https://www.boe.es/gazeta/dias/1804/11/16/pdfs/GMD-1804-92.pdf#page=4","Abrir facsímil")</f>
        <v>Abrir facsímil</v>
      </c>
      <c r="K4937" s="15" t="s">
        <v>22</v>
      </c>
    </row>
    <row r="4938" spans="1:11" ht="42" customHeight="1">
      <c r="A4938" s="4" t="s">
        <v>11881</v>
      </c>
      <c r="B4938" s="5" t="s">
        <v>11882</v>
      </c>
      <c r="C4938" s="5" t="s">
        <v>27</v>
      </c>
      <c r="D4938" s="5" t="s">
        <v>28</v>
      </c>
      <c r="E4938" s="5" t="s">
        <v>308</v>
      </c>
      <c r="F4938" s="9">
        <v>96</v>
      </c>
      <c r="G4938" s="9">
        <v>1067</v>
      </c>
      <c r="H4938" s="5" t="s">
        <v>20</v>
      </c>
      <c r="I4938" s="5" t="s">
        <v>11883</v>
      </c>
      <c r="J4938" s="12" t="str">
        <f>HYPERLINK("https://www.boe.es/gazeta/dias/1804/11/30/pdfs/GMD-1804-96.pdf#page=7","Abrir facsímil")</f>
        <v>Abrir facsímil</v>
      </c>
      <c r="K4938" s="15" t="s">
        <v>22</v>
      </c>
    </row>
    <row r="4939" spans="1:11" ht="42" customHeight="1">
      <c r="A4939" s="4" t="s">
        <v>11884</v>
      </c>
      <c r="B4939" s="5" t="s">
        <v>11885</v>
      </c>
      <c r="C4939" s="5" t="s">
        <v>65</v>
      </c>
      <c r="D4939" s="5" t="s">
        <v>66</v>
      </c>
      <c r="E4939" s="5" t="s">
        <v>67</v>
      </c>
      <c r="F4939" s="9">
        <v>59</v>
      </c>
      <c r="G4939" s="9">
        <v>655</v>
      </c>
      <c r="H4939" s="5" t="s">
        <v>20</v>
      </c>
      <c r="I4939" s="5" t="s">
        <v>11886</v>
      </c>
      <c r="J4939" s="12" t="str">
        <f>HYPERLINK("https://www.boe.es/gazeta/dias/1804/07/24/pdfs/GMD-1804-59.pdf#page=9","Abrir facsímil")</f>
        <v>Abrir facsímil</v>
      </c>
      <c r="K4939" s="15" t="s">
        <v>22</v>
      </c>
    </row>
    <row r="4940" spans="1:11" ht="42" customHeight="1">
      <c r="A4940" s="4" t="s">
        <v>11884</v>
      </c>
      <c r="B4940" s="5" t="s">
        <v>11885</v>
      </c>
      <c r="C4940" s="5" t="s">
        <v>65</v>
      </c>
      <c r="D4940" s="5" t="s">
        <v>66</v>
      </c>
      <c r="E4940" s="5" t="s">
        <v>67</v>
      </c>
      <c r="F4940" s="9">
        <v>59</v>
      </c>
      <c r="G4940" s="9">
        <v>656</v>
      </c>
      <c r="H4940" s="5" t="s">
        <v>20</v>
      </c>
      <c r="I4940" s="5" t="s">
        <v>11887</v>
      </c>
      <c r="J4940" s="12" t="str">
        <f>HYPERLINK("https://www.boe.es/gazeta/dias/1804/07/24/pdfs/GMD-1804-59.pdf#page=10","Abrir facsímil")</f>
        <v>Abrir facsímil</v>
      </c>
      <c r="K4940" s="15" t="s">
        <v>22</v>
      </c>
    </row>
    <row r="4941" spans="1:11" ht="42" customHeight="1">
      <c r="A4941" s="4" t="s">
        <v>11888</v>
      </c>
      <c r="B4941" s="5" t="s">
        <v>11889</v>
      </c>
      <c r="C4941" s="5" t="s">
        <v>17</v>
      </c>
      <c r="D4941" s="5" t="s">
        <v>18</v>
      </c>
      <c r="E4941" s="5" t="s">
        <v>33</v>
      </c>
      <c r="F4941" s="9">
        <v>48</v>
      </c>
      <c r="G4941" s="9">
        <v>534</v>
      </c>
      <c r="H4941" s="5" t="s">
        <v>20</v>
      </c>
      <c r="I4941" s="5" t="s">
        <v>11890</v>
      </c>
      <c r="J4941" s="12" t="str">
        <f>HYPERLINK("https://www.boe.es/gazeta/dias/1804/06/15/pdfs/GMD-1804-48.pdf#page=4","Abrir facsímil")</f>
        <v>Abrir facsímil</v>
      </c>
      <c r="K4941" s="15" t="s">
        <v>22</v>
      </c>
    </row>
    <row r="4942" spans="1:11" ht="42" customHeight="1">
      <c r="A4942" s="4" t="s">
        <v>11891</v>
      </c>
      <c r="B4942" s="5" t="s">
        <v>11891</v>
      </c>
      <c r="C4942" s="5" t="s">
        <v>17</v>
      </c>
      <c r="D4942" s="5" t="s">
        <v>18</v>
      </c>
      <c r="E4942" s="5" t="s">
        <v>234</v>
      </c>
      <c r="F4942" s="9">
        <v>86</v>
      </c>
      <c r="G4942" s="9">
        <v>944</v>
      </c>
      <c r="H4942" s="5" t="s">
        <v>20</v>
      </c>
      <c r="I4942" s="5" t="s">
        <v>11892</v>
      </c>
      <c r="J4942" s="12" t="str">
        <f>HYPERLINK("https://www.boe.es/gazeta/dias/1804/10/26/pdfs/GMD-1804-86.pdf#page=2","Abrir facsímil")</f>
        <v>Abrir facsímil</v>
      </c>
      <c r="K4942" s="15" t="s">
        <v>22</v>
      </c>
    </row>
    <row r="4943" spans="1:11" ht="42" customHeight="1">
      <c r="A4943" s="4" t="s">
        <v>11893</v>
      </c>
      <c r="B4943" s="5" t="s">
        <v>11893</v>
      </c>
      <c r="C4943" s="5" t="s">
        <v>57</v>
      </c>
      <c r="D4943" s="5" t="s">
        <v>58</v>
      </c>
      <c r="E4943" s="5" t="s">
        <v>155</v>
      </c>
      <c r="F4943" s="9">
        <v>92</v>
      </c>
      <c r="G4943" s="9">
        <v>1016</v>
      </c>
      <c r="H4943" s="5" t="s">
        <v>20</v>
      </c>
      <c r="I4943" s="5" t="s">
        <v>11894</v>
      </c>
      <c r="J4943" s="12" t="str">
        <f>HYPERLINK("https://www.boe.es/gazeta/dias/1804/11/16/pdfs/GMD-1804-92.pdf#page=4","Abrir facsímil")</f>
        <v>Abrir facsímil</v>
      </c>
      <c r="K4943" s="15" t="s">
        <v>22</v>
      </c>
    </row>
    <row r="4944" spans="1:11" ht="42" customHeight="1">
      <c r="A4944" s="4" t="s">
        <v>11895</v>
      </c>
      <c r="B4944" s="5" t="s">
        <v>11895</v>
      </c>
      <c r="C4944" s="5" t="s">
        <v>57</v>
      </c>
      <c r="D4944" s="5" t="s">
        <v>58</v>
      </c>
      <c r="E4944" s="5" t="s">
        <v>736</v>
      </c>
      <c r="F4944" s="9">
        <v>83</v>
      </c>
      <c r="G4944" s="9">
        <v>913</v>
      </c>
      <c r="H4944" s="5" t="s">
        <v>20</v>
      </c>
      <c r="I4944" s="5" t="s">
        <v>11896</v>
      </c>
      <c r="J4944" s="12" t="str">
        <f>HYPERLINK("https://www.boe.es/gazeta/dias/1804/10/16/pdfs/GMD-1804-83.pdf#page=3","Abrir facsímil")</f>
        <v>Abrir facsímil</v>
      </c>
      <c r="K4944" s="15" t="s">
        <v>22</v>
      </c>
    </row>
    <row r="4945" spans="1:11" ht="42" customHeight="1">
      <c r="A4945" s="4" t="s">
        <v>11895</v>
      </c>
      <c r="B4945" s="5" t="s">
        <v>11895</v>
      </c>
      <c r="C4945" s="5" t="s">
        <v>27</v>
      </c>
      <c r="D4945" s="5" t="s">
        <v>28</v>
      </c>
      <c r="E4945" s="5" t="s">
        <v>212</v>
      </c>
      <c r="F4945" s="9">
        <v>89</v>
      </c>
      <c r="G4945" s="9">
        <v>986</v>
      </c>
      <c r="H4945" s="5" t="s">
        <v>20</v>
      </c>
      <c r="I4945" s="5" t="s">
        <v>11897</v>
      </c>
      <c r="J4945" s="12" t="str">
        <f>HYPERLINK("https://www.boe.es/gazeta/dias/1804/11/06/pdfs/GMD-1804-89.pdf#page=6","Abrir facsímil")</f>
        <v>Abrir facsímil</v>
      </c>
      <c r="K4945" s="15" t="s">
        <v>22</v>
      </c>
    </row>
    <row r="4946" spans="1:11" ht="42" customHeight="1">
      <c r="A4946" s="4" t="s">
        <v>11898</v>
      </c>
      <c r="B4946" s="5" t="s">
        <v>11898</v>
      </c>
      <c r="C4946" s="5" t="s">
        <v>17</v>
      </c>
      <c r="D4946" s="5" t="s">
        <v>18</v>
      </c>
      <c r="E4946" s="5" t="s">
        <v>71</v>
      </c>
      <c r="F4946" s="9">
        <v>99</v>
      </c>
      <c r="G4946" s="9">
        <v>1105</v>
      </c>
      <c r="H4946" s="5" t="s">
        <v>20</v>
      </c>
      <c r="I4946" s="5" t="s">
        <v>11899</v>
      </c>
      <c r="J4946" s="12" t="str">
        <f>HYPERLINK("https://www.boe.es/gazeta/dias/1804/12/11/pdfs/GMD-1804-99.pdf#page=5","Abrir facsímil")</f>
        <v>Abrir facsímil</v>
      </c>
      <c r="K4946" s="15" t="s">
        <v>22</v>
      </c>
    </row>
    <row r="4947" spans="1:11" ht="42" customHeight="1">
      <c r="A4947" s="4" t="s">
        <v>11900</v>
      </c>
      <c r="B4947" s="5" t="s">
        <v>11901</v>
      </c>
      <c r="C4947" s="5" t="s">
        <v>27</v>
      </c>
      <c r="D4947" s="5" t="s">
        <v>28</v>
      </c>
      <c r="E4947" s="5" t="s">
        <v>258</v>
      </c>
      <c r="F4947" s="9">
        <v>14</v>
      </c>
      <c r="G4947" s="9">
        <v>153</v>
      </c>
      <c r="H4947" s="5" t="s">
        <v>20</v>
      </c>
      <c r="I4947" s="5" t="s">
        <v>11902</v>
      </c>
      <c r="J4947" s="12" t="str">
        <f>HYPERLINK("https://www.boe.es/gazeta/dias/1804/02/17/pdfs/GMD-1804-14.pdf#page=9","Abrir facsímil")</f>
        <v>Abrir facsímil</v>
      </c>
      <c r="K4947" s="15" t="s">
        <v>22</v>
      </c>
    </row>
    <row r="4948" spans="1:11" ht="42" customHeight="1">
      <c r="A4948" s="4" t="s">
        <v>11903</v>
      </c>
      <c r="B4948" s="5" t="s">
        <v>11903</v>
      </c>
      <c r="C4948" s="5" t="s">
        <v>57</v>
      </c>
      <c r="D4948" s="5" t="s">
        <v>58</v>
      </c>
      <c r="E4948" s="5" t="s">
        <v>222</v>
      </c>
      <c r="F4948" s="9">
        <v>4</v>
      </c>
      <c r="G4948" s="9">
        <v>32</v>
      </c>
      <c r="H4948" s="5" t="s">
        <v>20</v>
      </c>
      <c r="I4948" s="5" t="s">
        <v>11904</v>
      </c>
      <c r="J4948" s="12" t="str">
        <f>HYPERLINK("https://www.boe.es/gazeta/dias/1804/01/13/pdfs/GMD-1804-4.pdf#page=4","Abrir facsímil")</f>
        <v>Abrir facsímil</v>
      </c>
      <c r="K4948" s="15" t="s">
        <v>22</v>
      </c>
    </row>
    <row r="4949" spans="1:11" ht="42" customHeight="1">
      <c r="A4949" s="4" t="s">
        <v>11903</v>
      </c>
      <c r="B4949" s="5" t="s">
        <v>11903</v>
      </c>
      <c r="C4949" s="5" t="s">
        <v>57</v>
      </c>
      <c r="D4949" s="5" t="s">
        <v>58</v>
      </c>
      <c r="E4949" s="5" t="s">
        <v>230</v>
      </c>
      <c r="F4949" s="9">
        <v>26</v>
      </c>
      <c r="G4949" s="9">
        <v>288</v>
      </c>
      <c r="H4949" s="5" t="s">
        <v>20</v>
      </c>
      <c r="I4949" s="5" t="s">
        <v>11905</v>
      </c>
      <c r="J4949" s="12" t="str">
        <f>HYPERLINK("https://www.boe.es/gazeta/dias/1804/03/30/pdfs/GMD-1804-26.pdf#page=2","Abrir facsímil")</f>
        <v>Abrir facsímil</v>
      </c>
      <c r="K4949" s="15" t="s">
        <v>22</v>
      </c>
    </row>
    <row r="4950" spans="1:11" ht="42" customHeight="1">
      <c r="A4950" s="4" t="s">
        <v>11906</v>
      </c>
      <c r="B4950" s="5" t="s">
        <v>11907</v>
      </c>
      <c r="C4950" s="5" t="s">
        <v>17</v>
      </c>
      <c r="D4950" s="5" t="s">
        <v>18</v>
      </c>
      <c r="E4950" s="5" t="s">
        <v>199</v>
      </c>
      <c r="F4950" s="9">
        <v>46</v>
      </c>
      <c r="G4950" s="9">
        <v>513</v>
      </c>
      <c r="H4950" s="5" t="s">
        <v>20</v>
      </c>
      <c r="I4950" s="5" t="s">
        <v>11908</v>
      </c>
      <c r="J4950" s="12" t="str">
        <f>HYPERLINK("https://www.boe.es/gazeta/dias/1804/06/08/pdfs/GMD-1804-46.pdf#page=11","Abrir facsímil")</f>
        <v>Abrir facsímil</v>
      </c>
      <c r="K4950" s="15" t="s">
        <v>22</v>
      </c>
    </row>
    <row r="4951" spans="1:11" ht="42" customHeight="1">
      <c r="A4951" s="4" t="s">
        <v>11909</v>
      </c>
      <c r="B4951" s="5" t="s">
        <v>11910</v>
      </c>
      <c r="C4951" s="5" t="s">
        <v>65</v>
      </c>
      <c r="D4951" s="5" t="s">
        <v>66</v>
      </c>
      <c r="E4951" s="5" t="s">
        <v>216</v>
      </c>
      <c r="F4951" s="9">
        <v>67</v>
      </c>
      <c r="G4951" s="9">
        <v>751</v>
      </c>
      <c r="H4951" s="5" t="s">
        <v>20</v>
      </c>
      <c r="I4951" s="5" t="s">
        <v>11911</v>
      </c>
      <c r="J4951" s="12" t="str">
        <f>HYPERLINK("https://www.boe.es/gazeta/dias/1804/08/21/pdfs/GMD-1804-67.pdf#page=9","Abrir facsímil")</f>
        <v>Abrir facsímil</v>
      </c>
      <c r="K4951" s="15" t="s">
        <v>22</v>
      </c>
    </row>
    <row r="4952" spans="1:11" ht="42" customHeight="1">
      <c r="A4952" s="4" t="s">
        <v>11912</v>
      </c>
      <c r="B4952" s="5" t="s">
        <v>11913</v>
      </c>
      <c r="C4952" s="5" t="s">
        <v>57</v>
      </c>
      <c r="D4952" s="5" t="s">
        <v>58</v>
      </c>
      <c r="E4952" s="5" t="s">
        <v>1449</v>
      </c>
      <c r="F4952" s="9">
        <v>8</v>
      </c>
      <c r="G4952" s="9">
        <v>82</v>
      </c>
      <c r="H4952" s="5" t="s">
        <v>20</v>
      </c>
      <c r="I4952" s="5" t="s">
        <v>11914</v>
      </c>
      <c r="J4952" s="12" t="str">
        <f>HYPERLINK("https://www.boe.es/gazeta/dias/1804/01/27/pdfs/GMD-1804-8.pdf#page=6","Abrir facsímil")</f>
        <v>Abrir facsímil</v>
      </c>
      <c r="K4952" s="15" t="s">
        <v>22</v>
      </c>
    </row>
    <row r="4953" spans="1:11" ht="42" customHeight="1">
      <c r="A4953" s="4" t="s">
        <v>11915</v>
      </c>
      <c r="B4953" s="5" t="s">
        <v>11916</v>
      </c>
      <c r="C4953" s="5" t="s">
        <v>198</v>
      </c>
      <c r="D4953" s="5" t="s">
        <v>66</v>
      </c>
      <c r="E4953" s="5" t="s">
        <v>308</v>
      </c>
      <c r="F4953" s="9">
        <v>96</v>
      </c>
      <c r="G4953" s="9">
        <v>1067</v>
      </c>
      <c r="H4953" s="5" t="s">
        <v>20</v>
      </c>
      <c r="I4953" s="5" t="s">
        <v>11917</v>
      </c>
      <c r="J4953" s="12" t="str">
        <f>HYPERLINK("https://www.boe.es/gazeta/dias/1804/11/30/pdfs/GMD-1804-96.pdf#page=7","Abrir facsímil")</f>
        <v>Abrir facsímil</v>
      </c>
      <c r="K4953" s="15" t="s">
        <v>22</v>
      </c>
    </row>
    <row r="4954" spans="1:11" ht="42" customHeight="1">
      <c r="A4954" s="4" t="s">
        <v>11918</v>
      </c>
      <c r="B4954" s="5" t="s">
        <v>11919</v>
      </c>
      <c r="C4954" s="5" t="s">
        <v>17</v>
      </c>
      <c r="D4954" s="5" t="s">
        <v>18</v>
      </c>
      <c r="E4954" s="5" t="s">
        <v>67</v>
      </c>
      <c r="F4954" s="9">
        <v>59</v>
      </c>
      <c r="G4954" s="9">
        <v>651</v>
      </c>
      <c r="H4954" s="5" t="s">
        <v>20</v>
      </c>
      <c r="I4954" s="5" t="s">
        <v>11920</v>
      </c>
      <c r="J4954" s="12" t="str">
        <f>HYPERLINK("https://www.boe.es/gazeta/dias/1804/07/24/pdfs/GMD-1804-59.pdf#page=5","Abrir facsímil")</f>
        <v>Abrir facsímil</v>
      </c>
      <c r="K4954" s="15" t="s">
        <v>22</v>
      </c>
    </row>
    <row r="4955" spans="1:11" ht="42" customHeight="1">
      <c r="A4955" s="4" t="s">
        <v>11921</v>
      </c>
      <c r="B4955" s="5" t="s">
        <v>11922</v>
      </c>
      <c r="C4955" s="5" t="s">
        <v>27</v>
      </c>
      <c r="D4955" s="5" t="s">
        <v>28</v>
      </c>
      <c r="E4955" s="5" t="s">
        <v>87</v>
      </c>
      <c r="F4955" s="9">
        <v>9</v>
      </c>
      <c r="G4955" s="9">
        <v>92</v>
      </c>
      <c r="H4955" s="5" t="s">
        <v>20</v>
      </c>
      <c r="I4955" s="5" t="s">
        <v>11923</v>
      </c>
      <c r="J4955" s="12" t="str">
        <f>HYPERLINK("https://www.boe.es/gazeta/dias/1804/01/31/pdfs/GMD-1804-9.pdf#page=4","Abrir facsímil")</f>
        <v>Abrir facsímil</v>
      </c>
      <c r="K4955" s="15" t="s">
        <v>22</v>
      </c>
    </row>
    <row r="4956" spans="1:11" ht="42" customHeight="1">
      <c r="A4956" s="4" t="s">
        <v>11921</v>
      </c>
      <c r="B4956" s="5" t="s">
        <v>11922</v>
      </c>
      <c r="C4956" s="5" t="s">
        <v>27</v>
      </c>
      <c r="D4956" s="5" t="s">
        <v>28</v>
      </c>
      <c r="E4956" s="5" t="s">
        <v>298</v>
      </c>
      <c r="F4956" s="9">
        <v>10</v>
      </c>
      <c r="G4956" s="9">
        <v>102</v>
      </c>
      <c r="H4956" s="5" t="s">
        <v>20</v>
      </c>
      <c r="I4956" s="5" t="s">
        <v>11924</v>
      </c>
      <c r="J4956" s="12" t="str">
        <f>HYPERLINK("https://www.boe.es/gazeta/dias/1804/02/03/pdfs/GMD-1804-10.pdf#page=2","Abrir facsímil")</f>
        <v>Abrir facsímil</v>
      </c>
      <c r="K4956" s="15" t="s">
        <v>22</v>
      </c>
    </row>
    <row r="4957" spans="1:11" ht="42" customHeight="1">
      <c r="A4957" s="4" t="s">
        <v>11921</v>
      </c>
      <c r="B4957" s="5" t="s">
        <v>11922</v>
      </c>
      <c r="C4957" s="5" t="s">
        <v>27</v>
      </c>
      <c r="D4957" s="5" t="s">
        <v>28</v>
      </c>
      <c r="E4957" s="5" t="s">
        <v>298</v>
      </c>
      <c r="F4957" s="9">
        <v>10</v>
      </c>
      <c r="G4957" s="9">
        <v>105</v>
      </c>
      <c r="H4957" s="5" t="s">
        <v>20</v>
      </c>
      <c r="I4957" s="5" t="s">
        <v>11925</v>
      </c>
      <c r="J4957" s="12" t="str">
        <f>HYPERLINK("https://www.boe.es/gazeta/dias/1804/02/03/pdfs/GMD-1804-10.pdf#page=5","Abrir facsímil")</f>
        <v>Abrir facsímil</v>
      </c>
      <c r="K4957" s="15" t="s">
        <v>22</v>
      </c>
    </row>
    <row r="4958" spans="1:11" ht="42" customHeight="1">
      <c r="A4958" s="4" t="s">
        <v>11926</v>
      </c>
      <c r="B4958" s="5" t="s">
        <v>11926</v>
      </c>
      <c r="C4958" s="5" t="s">
        <v>85</v>
      </c>
      <c r="D4958" s="5" t="s">
        <v>86</v>
      </c>
      <c r="E4958" s="5" t="s">
        <v>75</v>
      </c>
      <c r="F4958" s="9">
        <v>16</v>
      </c>
      <c r="G4958" s="9">
        <v>174</v>
      </c>
      <c r="H4958" s="5" t="s">
        <v>20</v>
      </c>
      <c r="I4958" s="5" t="s">
        <v>11927</v>
      </c>
      <c r="J4958" s="12" t="str">
        <f>HYPERLINK("https://www.boe.es/gazeta/dias/1804/02/24/pdfs/GMD-1804-16.pdf#page=10","Abrir facsímil")</f>
        <v>Abrir facsímil</v>
      </c>
      <c r="K4958" s="15" t="s">
        <v>22</v>
      </c>
    </row>
    <row r="4959" spans="1:11" ht="42" customHeight="1">
      <c r="A4959" s="4" t="s">
        <v>11928</v>
      </c>
      <c r="B4959" s="5" t="s">
        <v>11928</v>
      </c>
      <c r="C4959" s="5" t="s">
        <v>17</v>
      </c>
      <c r="D4959" s="5" t="s">
        <v>18</v>
      </c>
      <c r="E4959" s="5" t="s">
        <v>159</v>
      </c>
      <c r="F4959" s="9">
        <v>15</v>
      </c>
      <c r="G4959" s="9">
        <v>164</v>
      </c>
      <c r="H4959" s="5" t="s">
        <v>20</v>
      </c>
      <c r="I4959" s="5" t="s">
        <v>11929</v>
      </c>
      <c r="J4959" s="12" t="str">
        <f>HYPERLINK("https://www.boe.es/gazeta/dias/1804/02/21/pdfs/GMD-1804-15.pdf#page=8","Abrir facsímil")</f>
        <v>Abrir facsímil</v>
      </c>
      <c r="K4959" s="15" t="s">
        <v>22</v>
      </c>
    </row>
    <row r="4960" spans="1:11" ht="42" customHeight="1">
      <c r="A4960" s="4" t="s">
        <v>11930</v>
      </c>
      <c r="B4960" s="5" t="s">
        <v>11930</v>
      </c>
      <c r="C4960" s="5" t="s">
        <v>85</v>
      </c>
      <c r="D4960" s="5" t="s">
        <v>86</v>
      </c>
      <c r="E4960" s="5" t="s">
        <v>258</v>
      </c>
      <c r="F4960" s="9">
        <v>14</v>
      </c>
      <c r="G4960" s="9">
        <v>156</v>
      </c>
      <c r="H4960" s="5" t="s">
        <v>20</v>
      </c>
      <c r="I4960" s="5" t="s">
        <v>11931</v>
      </c>
      <c r="J4960" s="12" t="str">
        <f>HYPERLINK("https://www.boe.es/gazeta/dias/1804/02/17/pdfs/GMD-1804-14.pdf#page=12","Abrir facsímil")</f>
        <v>Abrir facsímil</v>
      </c>
      <c r="K4960" s="15" t="s">
        <v>22</v>
      </c>
    </row>
    <row r="4961" spans="1:11" ht="42" customHeight="1">
      <c r="A4961" s="4" t="s">
        <v>11932</v>
      </c>
      <c r="B4961" s="5" t="s">
        <v>11933</v>
      </c>
      <c r="C4961" s="5" t="s">
        <v>65</v>
      </c>
      <c r="D4961" s="5" t="s">
        <v>66</v>
      </c>
      <c r="E4961" s="5" t="s">
        <v>666</v>
      </c>
      <c r="F4961" s="9">
        <v>57</v>
      </c>
      <c r="G4961" s="9">
        <v>623</v>
      </c>
      <c r="H4961" s="5" t="s">
        <v>20</v>
      </c>
      <c r="I4961" s="5" t="s">
        <v>11934</v>
      </c>
      <c r="J4961" s="12" t="str">
        <f>HYPERLINK("https://www.boe.es/gazeta/dias/1804/07/17/pdfs/GMD-1804-57.pdf#page=1","Abrir facsímil")</f>
        <v>Abrir facsímil</v>
      </c>
      <c r="K4961" s="15" t="s">
        <v>22</v>
      </c>
    </row>
    <row r="4962" spans="1:11" ht="42" customHeight="1">
      <c r="A4962" s="4" t="s">
        <v>11935</v>
      </c>
      <c r="B4962" s="5" t="s">
        <v>11936</v>
      </c>
      <c r="C4962" s="5" t="s">
        <v>27</v>
      </c>
      <c r="D4962" s="5" t="s">
        <v>28</v>
      </c>
      <c r="E4962" s="5" t="s">
        <v>182</v>
      </c>
      <c r="F4962" s="9">
        <v>21</v>
      </c>
      <c r="G4962" s="9">
        <v>234</v>
      </c>
      <c r="H4962" s="5" t="s">
        <v>20</v>
      </c>
      <c r="I4962" s="5" t="s">
        <v>11937</v>
      </c>
      <c r="J4962" s="12" t="str">
        <f>HYPERLINK("https://www.boe.es/gazeta/dias/1804/03/13/pdfs/GMD-1804-21.pdf#page=10","Abrir facsímil")</f>
        <v>Abrir facsímil</v>
      </c>
      <c r="K4962" s="15" t="s">
        <v>22</v>
      </c>
    </row>
    <row r="4963" spans="1:11" ht="42" customHeight="1">
      <c r="A4963" s="4" t="s">
        <v>11938</v>
      </c>
      <c r="B4963" s="5" t="s">
        <v>11939</v>
      </c>
      <c r="C4963" s="5" t="s">
        <v>17</v>
      </c>
      <c r="D4963" s="5" t="s">
        <v>18</v>
      </c>
      <c r="E4963" s="5" t="s">
        <v>320</v>
      </c>
      <c r="F4963" s="9">
        <v>31</v>
      </c>
      <c r="G4963" s="9">
        <v>346</v>
      </c>
      <c r="H4963" s="5" t="s">
        <v>20</v>
      </c>
      <c r="I4963" s="5" t="s">
        <v>11940</v>
      </c>
      <c r="J4963" s="12" t="str">
        <f>HYPERLINK("https://www.boe.es/gazeta/dias/1804/04/17/pdfs/GMD-1804-31.pdf#page=12","Abrir facsímil")</f>
        <v>Abrir facsímil</v>
      </c>
      <c r="K4963" s="15" t="s">
        <v>22</v>
      </c>
    </row>
    <row r="4964" spans="1:11" ht="42" customHeight="1">
      <c r="A4964" s="4" t="s">
        <v>11941</v>
      </c>
      <c r="B4964" s="5" t="s">
        <v>11941</v>
      </c>
      <c r="C4964" s="5" t="s">
        <v>17</v>
      </c>
      <c r="D4964" s="5" t="s">
        <v>18</v>
      </c>
      <c r="E4964" s="5" t="s">
        <v>354</v>
      </c>
      <c r="F4964" s="9">
        <v>1</v>
      </c>
      <c r="G4964" s="9">
        <v>7</v>
      </c>
      <c r="H4964" s="5" t="s">
        <v>20</v>
      </c>
      <c r="I4964" s="5" t="s">
        <v>11942</v>
      </c>
      <c r="J4964" s="12" t="str">
        <f>HYPERLINK("https://www.boe.es/gazeta/dias/1804/01/03/pdfs/GMD-1804-1.pdf#page=7","Abrir facsímil")</f>
        <v>Abrir facsímil</v>
      </c>
      <c r="K4964" s="15" t="s">
        <v>22</v>
      </c>
    </row>
    <row r="4965" spans="1:11" ht="42" customHeight="1">
      <c r="A4965" s="4" t="s">
        <v>11943</v>
      </c>
      <c r="B4965" s="5" t="s">
        <v>11943</v>
      </c>
      <c r="C4965" s="5" t="s">
        <v>57</v>
      </c>
      <c r="D4965" s="5" t="s">
        <v>58</v>
      </c>
      <c r="E4965" s="5" t="s">
        <v>191</v>
      </c>
      <c r="F4965" s="9">
        <v>101</v>
      </c>
      <c r="G4965" s="9">
        <v>1123</v>
      </c>
      <c r="H4965" s="5" t="s">
        <v>20</v>
      </c>
      <c r="I4965" s="5" t="s">
        <v>11944</v>
      </c>
      <c r="J4965" s="12" t="str">
        <f>HYPERLINK("https://www.boe.es/gazeta/dias/1804/12/18/pdfs/GMD-1804-101.pdf#page=3","Abrir facsímil")</f>
        <v>Abrir facsímil</v>
      </c>
      <c r="K4965" s="15" t="s">
        <v>22</v>
      </c>
    </row>
    <row r="4966" spans="1:11" ht="42" customHeight="1">
      <c r="A4966" s="4" t="s">
        <v>11945</v>
      </c>
      <c r="B4966" s="5" t="s">
        <v>11946</v>
      </c>
      <c r="C4966" s="5" t="s">
        <v>57</v>
      </c>
      <c r="D4966" s="5" t="s">
        <v>58</v>
      </c>
      <c r="E4966" s="5" t="s">
        <v>172</v>
      </c>
      <c r="F4966" s="9">
        <v>38</v>
      </c>
      <c r="G4966" s="9">
        <v>417</v>
      </c>
      <c r="H4966" s="5" t="s">
        <v>20</v>
      </c>
      <c r="I4966" s="5" t="s">
        <v>11947</v>
      </c>
      <c r="J4966" s="12" t="str">
        <f>HYPERLINK("https://www.boe.es/gazeta/dias/1804/05/11/pdfs/GMD-1804-38.pdf#page=3","Abrir facsímil")</f>
        <v>Abrir facsímil</v>
      </c>
      <c r="K4966" s="15" t="s">
        <v>22</v>
      </c>
    </row>
    <row r="4967" spans="1:11" ht="42" customHeight="1">
      <c r="A4967" s="4" t="s">
        <v>11948</v>
      </c>
      <c r="B4967" s="5" t="s">
        <v>11949</v>
      </c>
      <c r="C4967" s="5" t="s">
        <v>57</v>
      </c>
      <c r="D4967" s="5" t="s">
        <v>58</v>
      </c>
      <c r="E4967" s="5" t="s">
        <v>360</v>
      </c>
      <c r="F4967" s="9">
        <v>81</v>
      </c>
      <c r="G4967" s="9">
        <v>894</v>
      </c>
      <c r="H4967" s="5" t="s">
        <v>20</v>
      </c>
      <c r="I4967" s="5" t="s">
        <v>11950</v>
      </c>
      <c r="J4967" s="12" t="str">
        <f>HYPERLINK("https://www.boe.es/gazeta/dias/1804/10/09/pdfs/GMD-1804-81.pdf#page=4","Abrir facsímil")</f>
        <v>Abrir facsímil</v>
      </c>
      <c r="K4967" s="15" t="s">
        <v>22</v>
      </c>
    </row>
    <row r="4968" spans="1:11" ht="42" customHeight="1">
      <c r="A4968" s="4" t="s">
        <v>11951</v>
      </c>
      <c r="B4968" s="5" t="s">
        <v>11951</v>
      </c>
      <c r="C4968" s="5" t="s">
        <v>27</v>
      </c>
      <c r="D4968" s="5" t="s">
        <v>28</v>
      </c>
      <c r="E4968" s="5" t="s">
        <v>637</v>
      </c>
      <c r="F4968" s="9">
        <v>74</v>
      </c>
      <c r="G4968" s="9">
        <v>826</v>
      </c>
      <c r="H4968" s="5" t="s">
        <v>20</v>
      </c>
      <c r="I4968" s="5" t="s">
        <v>11952</v>
      </c>
      <c r="J4968" s="12" t="str">
        <f>HYPERLINK("https://www.boe.es/gazeta/dias/1804/09/14/pdfs/GMD-1804-74.pdf#page=4","Abrir facsímil")</f>
        <v>Abrir facsímil</v>
      </c>
      <c r="K4968" s="15" t="s">
        <v>22</v>
      </c>
    </row>
    <row r="4969" spans="1:11" ht="42" customHeight="1">
      <c r="A4969" s="4" t="s">
        <v>11953</v>
      </c>
      <c r="B4969" s="5" t="s">
        <v>11954</v>
      </c>
      <c r="C4969" s="5" t="s">
        <v>57</v>
      </c>
      <c r="D4969" s="5" t="s">
        <v>58</v>
      </c>
      <c r="E4969" s="5" t="s">
        <v>97</v>
      </c>
      <c r="F4969" s="9">
        <v>50</v>
      </c>
      <c r="G4969" s="9">
        <v>551</v>
      </c>
      <c r="H4969" s="5" t="s">
        <v>20</v>
      </c>
      <c r="I4969" s="5" t="s">
        <v>11955</v>
      </c>
      <c r="J4969" s="12" t="str">
        <f>HYPERLINK("https://www.boe.es/gazeta/dias/1804/06/22/pdfs/GMD-1804-50.pdf#page=5","Abrir facsímil")</f>
        <v>Abrir facsímil</v>
      </c>
      <c r="K4969" s="15" t="s">
        <v>22</v>
      </c>
    </row>
    <row r="4970" spans="1:11" ht="42" customHeight="1">
      <c r="A4970" s="4" t="s">
        <v>11956</v>
      </c>
      <c r="B4970" s="5" t="s">
        <v>11956</v>
      </c>
      <c r="C4970" s="5" t="s">
        <v>27</v>
      </c>
      <c r="D4970" s="5" t="s">
        <v>28</v>
      </c>
      <c r="E4970" s="5" t="s">
        <v>484</v>
      </c>
      <c r="F4970" s="9">
        <v>53</v>
      </c>
      <c r="G4970" s="9">
        <v>590</v>
      </c>
      <c r="H4970" s="5" t="s">
        <v>20</v>
      </c>
      <c r="I4970" s="5" t="s">
        <v>11957</v>
      </c>
      <c r="J4970" s="12" t="str">
        <f>HYPERLINK("https://www.boe.es/gazeta/dias/1804/07/03/pdfs/GMD-1804-53.pdf#page=8","Abrir facsímil")</f>
        <v>Abrir facsímil</v>
      </c>
      <c r="K4970" s="15" t="s">
        <v>22</v>
      </c>
    </row>
    <row r="4971" spans="1:11" ht="42" customHeight="1">
      <c r="A4971" s="4" t="s">
        <v>11958</v>
      </c>
      <c r="B4971" s="5" t="s">
        <v>11958</v>
      </c>
      <c r="C4971" s="5" t="s">
        <v>65</v>
      </c>
      <c r="D4971" s="5" t="s">
        <v>66</v>
      </c>
      <c r="E4971" s="5" t="s">
        <v>109</v>
      </c>
      <c r="F4971" s="9">
        <v>35</v>
      </c>
      <c r="G4971" s="9">
        <v>387</v>
      </c>
      <c r="H4971" s="5" t="s">
        <v>20</v>
      </c>
      <c r="I4971" s="5" t="s">
        <v>11959</v>
      </c>
      <c r="J4971" s="12" t="str">
        <f>HYPERLINK("https://www.boe.es/gazeta/dias/1804/05/01/pdfs/GMD-1804-35.pdf#page=9","Abrir facsímil")</f>
        <v>Abrir facsímil</v>
      </c>
      <c r="K4971" s="15" t="s">
        <v>22</v>
      </c>
    </row>
    <row r="4972" spans="1:11" ht="42" customHeight="1">
      <c r="A4972" s="4" t="s">
        <v>11960</v>
      </c>
      <c r="B4972" s="5" t="s">
        <v>11960</v>
      </c>
      <c r="C4972" s="5" t="s">
        <v>17</v>
      </c>
      <c r="D4972" s="5" t="s">
        <v>18</v>
      </c>
      <c r="E4972" s="5" t="s">
        <v>1337</v>
      </c>
      <c r="F4972" s="9">
        <v>7</v>
      </c>
      <c r="G4972" s="9">
        <v>70</v>
      </c>
      <c r="H4972" s="5" t="s">
        <v>20</v>
      </c>
      <c r="I4972" s="5" t="s">
        <v>11961</v>
      </c>
      <c r="J4972" s="12" t="str">
        <f>HYPERLINK("https://www.boe.es/gazeta/dias/1804/01/24/pdfs/GMD-1804-7.pdf#page=10","Abrir facsímil")</f>
        <v>Abrir facsímil</v>
      </c>
      <c r="K4972" s="15" t="s">
        <v>22</v>
      </c>
    </row>
    <row r="4973" spans="1:11" ht="42" customHeight="1">
      <c r="A4973" s="4" t="s">
        <v>11962</v>
      </c>
      <c r="B4973" s="5" t="s">
        <v>11962</v>
      </c>
      <c r="C4973" s="5" t="s">
        <v>57</v>
      </c>
      <c r="D4973" s="5" t="s">
        <v>58</v>
      </c>
      <c r="E4973" s="5" t="s">
        <v>172</v>
      </c>
      <c r="F4973" s="9">
        <v>38</v>
      </c>
      <c r="G4973" s="9">
        <v>418</v>
      </c>
      <c r="H4973" s="5" t="s">
        <v>20</v>
      </c>
      <c r="I4973" s="5" t="s">
        <v>11963</v>
      </c>
      <c r="J4973" s="12" t="str">
        <f>HYPERLINK("https://www.boe.es/gazeta/dias/1804/05/11/pdfs/GMD-1804-38.pdf#page=4","Abrir facsímil")</f>
        <v>Abrir facsímil</v>
      </c>
      <c r="K4973" s="15" t="s">
        <v>22</v>
      </c>
    </row>
    <row r="4974" spans="1:11" ht="42" customHeight="1">
      <c r="A4974" s="4" t="s">
        <v>11964</v>
      </c>
      <c r="B4974" s="5" t="s">
        <v>11965</v>
      </c>
      <c r="C4974" s="5" t="s">
        <v>27</v>
      </c>
      <c r="D4974" s="5" t="s">
        <v>28</v>
      </c>
      <c r="E4974" s="5" t="s">
        <v>216</v>
      </c>
      <c r="F4974" s="9">
        <v>67</v>
      </c>
      <c r="G4974" s="9">
        <v>752</v>
      </c>
      <c r="H4974" s="5" t="s">
        <v>20</v>
      </c>
      <c r="I4974" s="5" t="s">
        <v>11966</v>
      </c>
      <c r="J4974" s="12" t="str">
        <f>HYPERLINK("https://www.boe.es/gazeta/dias/1804/08/21/pdfs/GMD-1804-67.pdf#page=10","Abrir facsímil")</f>
        <v>Abrir facsímil</v>
      </c>
      <c r="K4974" s="15" t="s">
        <v>22</v>
      </c>
    </row>
    <row r="4975" spans="1:11" ht="42" customHeight="1">
      <c r="A4975" s="4" t="s">
        <v>11967</v>
      </c>
      <c r="B4975" s="5" t="s">
        <v>11968</v>
      </c>
      <c r="C4975" s="5" t="s">
        <v>27</v>
      </c>
      <c r="D4975" s="5" t="s">
        <v>28</v>
      </c>
      <c r="E4975" s="5" t="s">
        <v>132</v>
      </c>
      <c r="F4975" s="9">
        <v>52</v>
      </c>
      <c r="G4975" s="9">
        <v>575</v>
      </c>
      <c r="H4975" s="5" t="s">
        <v>20</v>
      </c>
      <c r="I4975" s="5" t="s">
        <v>11969</v>
      </c>
      <c r="J4975" s="12" t="str">
        <f>HYPERLINK("https://www.boe.es/gazeta/dias/1804/06/29/pdfs/GMD-1804-52.pdf#page=9","Abrir facsímil")</f>
        <v>Abrir facsímil</v>
      </c>
      <c r="K4975" s="15" t="s">
        <v>22</v>
      </c>
    </row>
    <row r="4976" spans="1:11" ht="42" customHeight="1">
      <c r="A4976" s="4" t="s">
        <v>11970</v>
      </c>
      <c r="B4976" s="5" t="s">
        <v>11971</v>
      </c>
      <c r="C4976" s="5" t="s">
        <v>57</v>
      </c>
      <c r="D4976" s="5" t="s">
        <v>58</v>
      </c>
      <c r="E4976" s="5" t="s">
        <v>709</v>
      </c>
      <c r="F4976" s="9">
        <v>82</v>
      </c>
      <c r="G4976" s="9">
        <v>902</v>
      </c>
      <c r="H4976" s="5" t="s">
        <v>20</v>
      </c>
      <c r="I4976" s="5" t="s">
        <v>11972</v>
      </c>
      <c r="J4976" s="12" t="str">
        <f>HYPERLINK("https://www.boe.es/gazeta/dias/1804/10/12/pdfs/GMD-1804-82.pdf#page=4","Abrir facsímil")</f>
        <v>Abrir facsímil</v>
      </c>
      <c r="K4976" s="15" t="s">
        <v>22</v>
      </c>
    </row>
    <row r="4977" spans="1:11" ht="42" customHeight="1">
      <c r="A4977" s="4" t="s">
        <v>11973</v>
      </c>
      <c r="B4977" s="5" t="s">
        <v>11973</v>
      </c>
      <c r="C4977" s="5" t="s">
        <v>17</v>
      </c>
      <c r="D4977" s="5" t="s">
        <v>18</v>
      </c>
      <c r="E4977" s="5" t="s">
        <v>453</v>
      </c>
      <c r="F4977" s="9">
        <v>33</v>
      </c>
      <c r="G4977" s="9">
        <v>366</v>
      </c>
      <c r="H4977" s="5" t="s">
        <v>20</v>
      </c>
      <c r="I4977" s="5" t="s">
        <v>11974</v>
      </c>
      <c r="J4977" s="12" t="str">
        <f>HYPERLINK("https://www.boe.es/gazeta/dias/1804/04/24/pdfs/GMD-1804-33.pdf#page=8","Abrir facsímil")</f>
        <v>Abrir facsímil</v>
      </c>
      <c r="K4977" s="15" t="s">
        <v>22</v>
      </c>
    </row>
    <row r="4978" spans="1:11" ht="42" customHeight="1">
      <c r="A4978" s="4" t="s">
        <v>11975</v>
      </c>
      <c r="B4978" s="5" t="s">
        <v>11976</v>
      </c>
      <c r="C4978" s="5" t="s">
        <v>17</v>
      </c>
      <c r="D4978" s="5" t="s">
        <v>18</v>
      </c>
      <c r="E4978" s="5" t="s">
        <v>23</v>
      </c>
      <c r="F4978" s="9">
        <v>91</v>
      </c>
      <c r="G4978" s="9">
        <v>1009</v>
      </c>
      <c r="H4978" s="5" t="s">
        <v>20</v>
      </c>
      <c r="I4978" s="5" t="s">
        <v>11977</v>
      </c>
      <c r="J4978" s="12" t="str">
        <f>HYPERLINK("https://www.boe.es/gazeta/dias/1804/11/13/pdfs/GMD-1804-91.pdf#page=9","Abrir facsímil")</f>
        <v>Abrir facsímil</v>
      </c>
      <c r="K4978" s="15" t="s">
        <v>22</v>
      </c>
    </row>
    <row r="4979" spans="1:11" ht="42" customHeight="1">
      <c r="A4979" s="4" t="s">
        <v>11978</v>
      </c>
      <c r="B4979" s="5" t="s">
        <v>11979</v>
      </c>
      <c r="C4979" s="5" t="s">
        <v>27</v>
      </c>
      <c r="D4979" s="5" t="s">
        <v>28</v>
      </c>
      <c r="E4979" s="5" t="s">
        <v>147</v>
      </c>
      <c r="F4979" s="9">
        <v>77</v>
      </c>
      <c r="G4979" s="9">
        <v>859</v>
      </c>
      <c r="H4979" s="5" t="s">
        <v>20</v>
      </c>
      <c r="I4979" s="5" t="s">
        <v>11980</v>
      </c>
      <c r="J4979" s="12" t="str">
        <f>HYPERLINK("https://www.boe.es/gazeta/dias/1804/09/25/pdfs/GMD-1804-77.pdf#page=9","Abrir facsímil")</f>
        <v>Abrir facsímil</v>
      </c>
      <c r="K4979" s="15" t="s">
        <v>22</v>
      </c>
    </row>
    <row r="4980" spans="1:11" ht="42" customHeight="1">
      <c r="A4980" s="4" t="s">
        <v>11981</v>
      </c>
      <c r="B4980" s="5" t="s">
        <v>11982</v>
      </c>
      <c r="C4980" s="5" t="s">
        <v>262</v>
      </c>
      <c r="D4980" s="5" t="s">
        <v>263</v>
      </c>
      <c r="E4980" s="5" t="s">
        <v>264</v>
      </c>
      <c r="F4980" s="9">
        <v>49</v>
      </c>
      <c r="G4980" s="9" t="s">
        <v>11983</v>
      </c>
      <c r="H4980" s="5" t="s">
        <v>20</v>
      </c>
      <c r="I4980" s="5" t="s">
        <v>11984</v>
      </c>
      <c r="J4980" s="12" t="str">
        <f>HYPERLINK("https://www.boe.es/gazeta/dias/1804/06/19/pdfs/GMD-C-1804-49.pdf#page=8","Abrir facsímil")</f>
        <v>Abrir facsímil</v>
      </c>
      <c r="K4980" s="15" t="s">
        <v>22</v>
      </c>
    </row>
    <row r="4981" spans="1:11" ht="42" customHeight="1">
      <c r="A4981" s="4" t="s">
        <v>11985</v>
      </c>
      <c r="B4981" s="5" t="s">
        <v>11986</v>
      </c>
      <c r="C4981" s="5" t="s">
        <v>262</v>
      </c>
      <c r="D4981" s="5" t="s">
        <v>263</v>
      </c>
      <c r="E4981" s="5" t="s">
        <v>264</v>
      </c>
      <c r="F4981" s="9">
        <v>49</v>
      </c>
      <c r="G4981" s="9" t="s">
        <v>98</v>
      </c>
      <c r="H4981" s="5" t="s">
        <v>20</v>
      </c>
      <c r="I4981" s="5" t="s">
        <v>11987</v>
      </c>
      <c r="J4981" s="12" t="str">
        <f>HYPERLINK("https://www.boe.es/gazeta/dias/1804/06/19/pdfs/GMD-C-1804-49.pdf#page=1","Abrir facsímil")</f>
        <v>Abrir facsímil</v>
      </c>
      <c r="K4981" s="15" t="s">
        <v>22</v>
      </c>
    </row>
    <row r="4982" spans="1:11" ht="42" customHeight="1">
      <c r="A4982" s="4" t="s">
        <v>11988</v>
      </c>
      <c r="B4982" s="5" t="s">
        <v>11989</v>
      </c>
      <c r="C4982" s="5" t="s">
        <v>120</v>
      </c>
      <c r="D4982" s="5" t="s">
        <v>121</v>
      </c>
      <c r="E4982" s="5" t="s">
        <v>33</v>
      </c>
      <c r="F4982" s="9">
        <v>48</v>
      </c>
      <c r="G4982" s="9" t="s">
        <v>285</v>
      </c>
      <c r="H4982" s="5" t="s">
        <v>20</v>
      </c>
      <c r="I4982" s="5" t="s">
        <v>11990</v>
      </c>
      <c r="J4982" s="12" t="str">
        <f>HYPERLINK("https://www.boe.es/gazeta/dias/1804/06/15/pdfs/GMD-C-1804-48.pdf#page=2","Abrir facsímil")</f>
        <v>Abrir facsímil</v>
      </c>
      <c r="K4982" s="15" t="s">
        <v>22</v>
      </c>
    </row>
    <row r="4983" spans="1:11" ht="42" customHeight="1">
      <c r="A4983" s="4" t="s">
        <v>11991</v>
      </c>
      <c r="B4983" s="5" t="s">
        <v>11991</v>
      </c>
      <c r="C4983" s="5" t="s">
        <v>17</v>
      </c>
      <c r="D4983" s="5" t="s">
        <v>18</v>
      </c>
      <c r="E4983" s="5" t="s">
        <v>155</v>
      </c>
      <c r="F4983" s="9">
        <v>92</v>
      </c>
      <c r="G4983" s="9">
        <v>1022</v>
      </c>
      <c r="H4983" s="5" t="s">
        <v>20</v>
      </c>
      <c r="I4983" s="5" t="s">
        <v>11992</v>
      </c>
      <c r="J4983" s="12" t="str">
        <f>HYPERLINK("https://www.boe.es/gazeta/dias/1804/11/16/pdfs/GMD-1804-92.pdf#page=10","Abrir facsímil")</f>
        <v>Abrir facsímil</v>
      </c>
      <c r="K4983" s="15" t="s">
        <v>22</v>
      </c>
    </row>
    <row r="4984" spans="1:11" ht="42" customHeight="1">
      <c r="A4984" s="4" t="s">
        <v>11993</v>
      </c>
      <c r="B4984" s="5" t="s">
        <v>11994</v>
      </c>
      <c r="C4984" s="5" t="s">
        <v>85</v>
      </c>
      <c r="D4984" s="5" t="s">
        <v>86</v>
      </c>
      <c r="E4984" s="5" t="s">
        <v>326</v>
      </c>
      <c r="F4984" s="9">
        <v>69</v>
      </c>
      <c r="G4984" s="9">
        <v>776</v>
      </c>
      <c r="H4984" s="5" t="s">
        <v>20</v>
      </c>
      <c r="I4984" s="5" t="s">
        <v>11995</v>
      </c>
      <c r="J4984" s="12" t="str">
        <f>HYPERLINK("https://www.boe.es/gazeta/dias/1804/08/28/pdfs/GMD-1804-69.pdf#page=10","Abrir facsímil")</f>
        <v>Abrir facsímil</v>
      </c>
      <c r="K4984" s="15" t="s">
        <v>22</v>
      </c>
    </row>
    <row r="4985" spans="1:11" ht="42" customHeight="1">
      <c r="A4985" s="4" t="s">
        <v>11996</v>
      </c>
      <c r="B4985" s="5" t="s">
        <v>11997</v>
      </c>
      <c r="C4985" s="5" t="s">
        <v>27</v>
      </c>
      <c r="D4985" s="5" t="s">
        <v>28</v>
      </c>
      <c r="E4985" s="5" t="s">
        <v>140</v>
      </c>
      <c r="F4985" s="9">
        <v>39</v>
      </c>
      <c r="G4985" s="9">
        <v>436</v>
      </c>
      <c r="H4985" s="5" t="s">
        <v>20</v>
      </c>
      <c r="I4985" s="5" t="s">
        <v>11998</v>
      </c>
      <c r="J4985" s="12" t="str">
        <f>HYPERLINK("https://www.boe.es/gazeta/dias/1804/05/15/pdfs/GMD-1804-39.pdf#page=10","Abrir facsímil")</f>
        <v>Abrir facsímil</v>
      </c>
      <c r="K4985" s="15" t="s">
        <v>22</v>
      </c>
    </row>
    <row r="4986" spans="1:11" ht="42" customHeight="1">
      <c r="A4986" s="4" t="s">
        <v>11999</v>
      </c>
      <c r="B4986" s="5" t="s">
        <v>11999</v>
      </c>
      <c r="C4986" s="5" t="s">
        <v>17</v>
      </c>
      <c r="D4986" s="5" t="s">
        <v>18</v>
      </c>
      <c r="E4986" s="5" t="s">
        <v>666</v>
      </c>
      <c r="F4986" s="9">
        <v>57</v>
      </c>
      <c r="G4986" s="9">
        <v>630</v>
      </c>
      <c r="H4986" s="5" t="s">
        <v>20</v>
      </c>
      <c r="I4986" s="5" t="s">
        <v>12000</v>
      </c>
      <c r="J4986" s="12" t="str">
        <f>HYPERLINK("https://www.boe.es/gazeta/dias/1804/07/17/pdfs/GMD-1804-57.pdf#page=8","Abrir facsímil")</f>
        <v>Abrir facsímil</v>
      </c>
      <c r="K4986" s="15" t="s">
        <v>22</v>
      </c>
    </row>
    <row r="4987" spans="1:11" ht="42" customHeight="1">
      <c r="A4987" s="4" t="s">
        <v>12001</v>
      </c>
      <c r="B4987" s="5" t="s">
        <v>12002</v>
      </c>
      <c r="C4987" s="5" t="s">
        <v>27</v>
      </c>
      <c r="D4987" s="5" t="s">
        <v>28</v>
      </c>
      <c r="E4987" s="5" t="s">
        <v>75</v>
      </c>
      <c r="F4987" s="9">
        <v>16</v>
      </c>
      <c r="G4987" s="9">
        <v>173</v>
      </c>
      <c r="H4987" s="5" t="s">
        <v>20</v>
      </c>
      <c r="I4987" s="5" t="s">
        <v>12003</v>
      </c>
      <c r="J4987" s="12" t="str">
        <f>HYPERLINK("https://www.boe.es/gazeta/dias/1804/02/24/pdfs/GMD-1804-16.pdf#page=9","Abrir facsímil")</f>
        <v>Abrir facsímil</v>
      </c>
      <c r="K4987" s="15" t="s">
        <v>22</v>
      </c>
    </row>
    <row r="4988" spans="1:11" ht="42" customHeight="1">
      <c r="A4988" s="4" t="s">
        <v>12004</v>
      </c>
      <c r="B4988" s="5" t="s">
        <v>12005</v>
      </c>
      <c r="C4988" s="5" t="s">
        <v>17</v>
      </c>
      <c r="D4988" s="5" t="s">
        <v>18</v>
      </c>
      <c r="E4988" s="5" t="s">
        <v>71</v>
      </c>
      <c r="F4988" s="9">
        <v>99</v>
      </c>
      <c r="G4988" s="9">
        <v>1107</v>
      </c>
      <c r="H4988" s="5" t="s">
        <v>20</v>
      </c>
      <c r="I4988" s="5" t="s">
        <v>12006</v>
      </c>
      <c r="J4988" s="12" t="str">
        <f>HYPERLINK("https://www.boe.es/gazeta/dias/1804/12/11/pdfs/GMD-1804-99.pdf#page=7","Abrir facsímil")</f>
        <v>Abrir facsímil</v>
      </c>
      <c r="K4988" s="15" t="s">
        <v>22</v>
      </c>
    </row>
    <row r="4989" spans="1:11" ht="42" customHeight="1">
      <c r="A4989" s="4" t="s">
        <v>12007</v>
      </c>
      <c r="B4989" s="5" t="s">
        <v>12007</v>
      </c>
      <c r="C4989" s="5" t="s">
        <v>198</v>
      </c>
      <c r="D4989" s="5" t="s">
        <v>66</v>
      </c>
      <c r="E4989" s="5" t="s">
        <v>704</v>
      </c>
      <c r="F4989" s="9">
        <v>36</v>
      </c>
      <c r="G4989" s="9">
        <v>400</v>
      </c>
      <c r="H4989" s="5" t="s">
        <v>20</v>
      </c>
      <c r="I4989" s="5" t="s">
        <v>12008</v>
      </c>
      <c r="J4989" s="12" t="str">
        <f>HYPERLINK("https://www.boe.es/gazeta/dias/1804/05/04/pdfs/GMD-1804-36.pdf#page=10","Abrir facsímil")</f>
        <v>Abrir facsímil</v>
      </c>
      <c r="K4989" s="15" t="s">
        <v>22</v>
      </c>
    </row>
    <row r="4990" spans="1:11" ht="42" customHeight="1">
      <c r="A4990" s="4" t="s">
        <v>12009</v>
      </c>
      <c r="B4990" s="5" t="s">
        <v>12009</v>
      </c>
      <c r="C4990" s="5" t="s">
        <v>17</v>
      </c>
      <c r="D4990" s="5" t="s">
        <v>18</v>
      </c>
      <c r="E4990" s="5" t="s">
        <v>140</v>
      </c>
      <c r="F4990" s="9">
        <v>39</v>
      </c>
      <c r="G4990" s="9">
        <v>435</v>
      </c>
      <c r="H4990" s="5" t="s">
        <v>20</v>
      </c>
      <c r="I4990" s="5" t="s">
        <v>12010</v>
      </c>
      <c r="J4990" s="12" t="str">
        <f>HYPERLINK("https://www.boe.es/gazeta/dias/1804/05/15/pdfs/GMD-1804-39.pdf#page=9","Abrir facsímil")</f>
        <v>Abrir facsímil</v>
      </c>
      <c r="K4990" s="15" t="s">
        <v>22</v>
      </c>
    </row>
    <row r="4991" spans="1:11" ht="42" customHeight="1">
      <c r="A4991" s="4" t="s">
        <v>12011</v>
      </c>
      <c r="B4991" s="5" t="s">
        <v>12011</v>
      </c>
      <c r="C4991" s="5" t="s">
        <v>27</v>
      </c>
      <c r="D4991" s="5" t="s">
        <v>28</v>
      </c>
      <c r="E4991" s="5" t="s">
        <v>421</v>
      </c>
      <c r="F4991" s="9">
        <v>47</v>
      </c>
      <c r="G4991" s="9">
        <v>528</v>
      </c>
      <c r="H4991" s="5" t="s">
        <v>20</v>
      </c>
      <c r="I4991" s="5" t="s">
        <v>12012</v>
      </c>
      <c r="J4991" s="12" t="str">
        <f>HYPERLINK("https://www.boe.es/gazeta/dias/1804/06/12/pdfs/GMD-1804-47.pdf#page=10","Abrir facsímil")</f>
        <v>Abrir facsímil</v>
      </c>
      <c r="K4991" s="15" t="s">
        <v>22</v>
      </c>
    </row>
    <row r="4992" spans="1:11" ht="42" customHeight="1">
      <c r="A4992" s="4" t="s">
        <v>12013</v>
      </c>
      <c r="B4992" s="5" t="s">
        <v>12013</v>
      </c>
      <c r="C4992" s="5" t="s">
        <v>198</v>
      </c>
      <c r="D4992" s="5" t="s">
        <v>66</v>
      </c>
      <c r="E4992" s="5" t="s">
        <v>339</v>
      </c>
      <c r="F4992" s="9">
        <v>94</v>
      </c>
      <c r="G4992" s="9">
        <v>1038</v>
      </c>
      <c r="H4992" s="5" t="s">
        <v>20</v>
      </c>
      <c r="I4992" s="5" t="s">
        <v>12014</v>
      </c>
      <c r="J4992" s="12" t="str">
        <f>HYPERLINK("https://www.boe.es/gazeta/dias/1804/11/23/pdfs/GMD-1804-94.pdf#page=6","Abrir facsímil")</f>
        <v>Abrir facsímil</v>
      </c>
      <c r="K4992" s="15" t="s">
        <v>22</v>
      </c>
    </row>
    <row r="4993" spans="1:11" ht="42" customHeight="1">
      <c r="A4993" s="4" t="s">
        <v>12015</v>
      </c>
      <c r="B4993" s="5" t="s">
        <v>12016</v>
      </c>
      <c r="C4993" s="5" t="s">
        <v>17</v>
      </c>
      <c r="D4993" s="5" t="s">
        <v>18</v>
      </c>
      <c r="E4993" s="5" t="s">
        <v>736</v>
      </c>
      <c r="F4993" s="9">
        <v>83</v>
      </c>
      <c r="G4993" s="9">
        <v>918</v>
      </c>
      <c r="H4993" s="5" t="s">
        <v>20</v>
      </c>
      <c r="I4993" s="5" t="s">
        <v>12017</v>
      </c>
      <c r="J4993" s="12" t="str">
        <f>HYPERLINK("https://www.boe.es/gazeta/dias/1804/10/16/pdfs/GMD-1804-83.pdf#page=8","Abrir facsímil")</f>
        <v>Abrir facsímil</v>
      </c>
      <c r="K4993" s="15" t="s">
        <v>22</v>
      </c>
    </row>
    <row r="4994" spans="1:11" ht="42" customHeight="1">
      <c r="A4994" s="4" t="s">
        <v>12018</v>
      </c>
      <c r="B4994" s="5" t="s">
        <v>12019</v>
      </c>
      <c r="C4994" s="5" t="s">
        <v>17</v>
      </c>
      <c r="D4994" s="5" t="s">
        <v>18</v>
      </c>
      <c r="E4994" s="5" t="s">
        <v>637</v>
      </c>
      <c r="F4994" s="9">
        <v>74</v>
      </c>
      <c r="G4994" s="9">
        <v>829</v>
      </c>
      <c r="H4994" s="5" t="s">
        <v>20</v>
      </c>
      <c r="I4994" s="5" t="s">
        <v>12020</v>
      </c>
      <c r="J4994" s="12" t="str">
        <f>HYPERLINK("https://www.boe.es/gazeta/dias/1804/09/14/pdfs/GMD-1804-74.pdf#page=7","Abrir facsímil")</f>
        <v>Abrir facsímil</v>
      </c>
      <c r="K4994" s="15" t="s">
        <v>22</v>
      </c>
    </row>
    <row r="4995" spans="1:11" ht="42" customHeight="1">
      <c r="A4995" s="4" t="s">
        <v>12021</v>
      </c>
      <c r="B4995" s="5" t="s">
        <v>12021</v>
      </c>
      <c r="C4995" s="5" t="s">
        <v>27</v>
      </c>
      <c r="D4995" s="5" t="s">
        <v>28</v>
      </c>
      <c r="E4995" s="5" t="s">
        <v>666</v>
      </c>
      <c r="F4995" s="9">
        <v>57</v>
      </c>
      <c r="G4995" s="9">
        <v>634</v>
      </c>
      <c r="H4995" s="5" t="s">
        <v>20</v>
      </c>
      <c r="I4995" s="5" t="s">
        <v>12022</v>
      </c>
      <c r="J4995" s="12" t="str">
        <f>HYPERLINK("https://www.boe.es/gazeta/dias/1804/07/17/pdfs/GMD-1804-57.pdf#page=12","Abrir facsímil")</f>
        <v>Abrir facsímil</v>
      </c>
      <c r="K4995" s="15" t="s">
        <v>22</v>
      </c>
    </row>
    <row r="4996" spans="1:11" ht="42" customHeight="1">
      <c r="A4996" s="4" t="s">
        <v>12023</v>
      </c>
      <c r="B4996" s="5" t="s">
        <v>12023</v>
      </c>
      <c r="C4996" s="5" t="s">
        <v>27</v>
      </c>
      <c r="D4996" s="5" t="s">
        <v>28</v>
      </c>
      <c r="E4996" s="5" t="s">
        <v>87</v>
      </c>
      <c r="F4996" s="9">
        <v>9</v>
      </c>
      <c r="G4996" s="9">
        <v>99</v>
      </c>
      <c r="H4996" s="5" t="s">
        <v>20</v>
      </c>
      <c r="I4996" s="5" t="s">
        <v>12024</v>
      </c>
      <c r="J4996" s="12" t="str">
        <f>HYPERLINK("https://www.boe.es/gazeta/dias/1804/01/31/pdfs/GMD-1804-9.pdf#page=11","Abrir facsímil")</f>
        <v>Abrir facsímil</v>
      </c>
      <c r="K4996" s="15" t="s">
        <v>22</v>
      </c>
    </row>
    <row r="4997" spans="1:11" ht="42" customHeight="1">
      <c r="A4997" s="4" t="s">
        <v>12025</v>
      </c>
      <c r="B4997" s="5" t="s">
        <v>12025</v>
      </c>
      <c r="C4997" s="5" t="s">
        <v>27</v>
      </c>
      <c r="D4997" s="5" t="s">
        <v>28</v>
      </c>
      <c r="E4997" s="5" t="s">
        <v>398</v>
      </c>
      <c r="F4997" s="9">
        <v>22</v>
      </c>
      <c r="G4997" s="9">
        <v>247</v>
      </c>
      <c r="H4997" s="5" t="s">
        <v>20</v>
      </c>
      <c r="I4997" s="5" t="s">
        <v>12026</v>
      </c>
      <c r="J4997" s="12" t="str">
        <f>HYPERLINK("https://www.boe.es/gazeta/dias/1804/03/16/pdfs/GMD-1804-22.pdf#page=11","Abrir facsímil")</f>
        <v>Abrir facsímil</v>
      </c>
      <c r="K4997" s="15" t="s">
        <v>22</v>
      </c>
    </row>
    <row r="4998" spans="1:11" ht="42" customHeight="1">
      <c r="A4998" s="4" t="s">
        <v>12027</v>
      </c>
      <c r="B4998" s="5" t="s">
        <v>12027</v>
      </c>
      <c r="C4998" s="5" t="s">
        <v>27</v>
      </c>
      <c r="D4998" s="5" t="s">
        <v>28</v>
      </c>
      <c r="E4998" s="5" t="s">
        <v>302</v>
      </c>
      <c r="F4998" s="9">
        <v>3</v>
      </c>
      <c r="G4998" s="9">
        <v>27</v>
      </c>
      <c r="H4998" s="5" t="s">
        <v>20</v>
      </c>
      <c r="I4998" s="5" t="s">
        <v>12028</v>
      </c>
      <c r="J4998" s="12" t="str">
        <f>HYPERLINK("https://www.boe.es/gazeta/dias/1804/01/10/pdfs/GMD-1804-3.pdf#page=7","Abrir facsímil")</f>
        <v>Abrir facsímil</v>
      </c>
      <c r="K4998" s="15" t="s">
        <v>22</v>
      </c>
    </row>
    <row r="4999" spans="1:11" ht="42" customHeight="1">
      <c r="A4999" s="4" t="s">
        <v>12027</v>
      </c>
      <c r="B4999" s="5" t="s">
        <v>12027</v>
      </c>
      <c r="C4999" s="5" t="s">
        <v>27</v>
      </c>
      <c r="D4999" s="5" t="s">
        <v>28</v>
      </c>
      <c r="E4999" s="5" t="s">
        <v>245</v>
      </c>
      <c r="F4999" s="9">
        <v>6</v>
      </c>
      <c r="G4999" s="9">
        <v>59</v>
      </c>
      <c r="H4999" s="5" t="s">
        <v>20</v>
      </c>
      <c r="I4999" s="5" t="s">
        <v>12029</v>
      </c>
      <c r="J4999" s="12" t="str">
        <f>HYPERLINK("https://www.boe.es/gazeta/dias/1804/01/20/pdfs/GMD-1804-6.pdf#page=11","Abrir facsímil")</f>
        <v>Abrir facsímil</v>
      </c>
      <c r="K4999" s="15" t="s">
        <v>22</v>
      </c>
    </row>
    <row r="5000" spans="1:11" ht="42" customHeight="1">
      <c r="A5000" s="4" t="s">
        <v>12027</v>
      </c>
      <c r="B5000" s="5" t="s">
        <v>12027</v>
      </c>
      <c r="C5000" s="5" t="s">
        <v>27</v>
      </c>
      <c r="D5000" s="5" t="s">
        <v>28</v>
      </c>
      <c r="E5000" s="5" t="s">
        <v>226</v>
      </c>
      <c r="F5000" s="9">
        <v>17</v>
      </c>
      <c r="G5000" s="9">
        <v>187</v>
      </c>
      <c r="H5000" s="5" t="s">
        <v>20</v>
      </c>
      <c r="I5000" s="5" t="s">
        <v>12030</v>
      </c>
      <c r="J5000" s="12" t="str">
        <f>HYPERLINK("https://www.boe.es/gazeta/dias/1804/02/28/pdfs/GMD-1804-17.pdf#page=7","Abrir facsímil")</f>
        <v>Abrir facsímil</v>
      </c>
      <c r="K5000" s="15" t="s">
        <v>22</v>
      </c>
    </row>
    <row r="5001" spans="1:11" ht="42" customHeight="1">
      <c r="A5001" s="4" t="s">
        <v>12027</v>
      </c>
      <c r="B5001" s="5" t="s">
        <v>12027</v>
      </c>
      <c r="C5001" s="5" t="s">
        <v>27</v>
      </c>
      <c r="D5001" s="5" t="s">
        <v>28</v>
      </c>
      <c r="E5001" s="5" t="s">
        <v>538</v>
      </c>
      <c r="F5001" s="9">
        <v>27</v>
      </c>
      <c r="G5001" s="9">
        <v>301</v>
      </c>
      <c r="H5001" s="5" t="s">
        <v>20</v>
      </c>
      <c r="I5001" s="5" t="s">
        <v>12031</v>
      </c>
      <c r="J5001" s="12" t="str">
        <f>HYPERLINK("https://www.boe.es/gazeta/dias/1804/04/03/pdfs/GMD-1804-27.pdf#page=7","Abrir facsímil")</f>
        <v>Abrir facsímil</v>
      </c>
      <c r="K5001" s="15" t="s">
        <v>22</v>
      </c>
    </row>
    <row r="5002" spans="1:11" ht="42" customHeight="1">
      <c r="A5002" s="4" t="s">
        <v>12027</v>
      </c>
      <c r="B5002" s="5" t="s">
        <v>12027</v>
      </c>
      <c r="C5002" s="5" t="s">
        <v>17</v>
      </c>
      <c r="D5002" s="5" t="s">
        <v>18</v>
      </c>
      <c r="E5002" s="5" t="s">
        <v>1278</v>
      </c>
      <c r="F5002" s="9">
        <v>37</v>
      </c>
      <c r="G5002" s="9">
        <v>413</v>
      </c>
      <c r="H5002" s="5" t="s">
        <v>20</v>
      </c>
      <c r="I5002" s="5" t="s">
        <v>12032</v>
      </c>
      <c r="J5002" s="12" t="str">
        <f>HYPERLINK("https://www.boe.es/gazeta/dias/1804/05/08/pdfs/GMD-1804-37.pdf#page=11","Abrir facsímil")</f>
        <v>Abrir facsímil</v>
      </c>
      <c r="K5002" s="15" t="s">
        <v>22</v>
      </c>
    </row>
    <row r="5003" spans="1:11" ht="42" customHeight="1">
      <c r="A5003" s="4" t="s">
        <v>12027</v>
      </c>
      <c r="B5003" s="5" t="s">
        <v>12027</v>
      </c>
      <c r="C5003" s="5" t="s">
        <v>27</v>
      </c>
      <c r="D5003" s="5" t="s">
        <v>28</v>
      </c>
      <c r="E5003" s="5" t="s">
        <v>111</v>
      </c>
      <c r="F5003" s="9">
        <v>40</v>
      </c>
      <c r="G5003" s="9">
        <v>449</v>
      </c>
      <c r="H5003" s="5" t="s">
        <v>20</v>
      </c>
      <c r="I5003" s="5" t="s">
        <v>12033</v>
      </c>
      <c r="J5003" s="12" t="str">
        <f>HYPERLINK("https://www.boe.es/gazeta/dias/1804/05/18/pdfs/GMD-1804-40.pdf#page=11","Abrir facsímil")</f>
        <v>Abrir facsímil</v>
      </c>
      <c r="K5003" s="15" t="s">
        <v>22</v>
      </c>
    </row>
    <row r="5004" spans="1:11" ht="42" customHeight="1">
      <c r="A5004" s="4" t="s">
        <v>12027</v>
      </c>
      <c r="B5004" s="5" t="s">
        <v>12027</v>
      </c>
      <c r="C5004" s="5" t="s">
        <v>27</v>
      </c>
      <c r="D5004" s="5" t="s">
        <v>28</v>
      </c>
      <c r="E5004" s="5" t="s">
        <v>111</v>
      </c>
      <c r="F5004" s="9">
        <v>40</v>
      </c>
      <c r="G5004" s="9">
        <v>450</v>
      </c>
      <c r="H5004" s="5" t="s">
        <v>20</v>
      </c>
      <c r="I5004" s="5" t="s">
        <v>12034</v>
      </c>
      <c r="J5004" s="12" t="str">
        <f>HYPERLINK("https://www.boe.es/gazeta/dias/1804/05/18/pdfs/GMD-1804-40.pdf#page=12","Abrir facsímil")</f>
        <v>Abrir facsímil</v>
      </c>
      <c r="K5004" s="15" t="s">
        <v>22</v>
      </c>
    </row>
    <row r="5005" spans="1:11" ht="42" customHeight="1">
      <c r="A5005" s="4" t="s">
        <v>12027</v>
      </c>
      <c r="B5005" s="5" t="s">
        <v>12027</v>
      </c>
      <c r="C5005" s="5" t="s">
        <v>27</v>
      </c>
      <c r="D5005" s="5" t="s">
        <v>28</v>
      </c>
      <c r="E5005" s="5" t="s">
        <v>1179</v>
      </c>
      <c r="F5005" s="9">
        <v>43</v>
      </c>
      <c r="G5005" s="9">
        <v>481</v>
      </c>
      <c r="H5005" s="5" t="s">
        <v>20</v>
      </c>
      <c r="I5005" s="5" t="s">
        <v>12035</v>
      </c>
      <c r="J5005" s="12" t="str">
        <f>HYPERLINK("https://www.boe.es/gazeta/dias/1804/05/29/pdfs/GMD-1804-43.pdf#page=7","Abrir facsímil")</f>
        <v>Abrir facsímil</v>
      </c>
      <c r="K5005" s="15" t="s">
        <v>22</v>
      </c>
    </row>
    <row r="5006" spans="1:11" ht="42" customHeight="1">
      <c r="A5006" s="4" t="s">
        <v>12027</v>
      </c>
      <c r="B5006" s="5" t="s">
        <v>12027</v>
      </c>
      <c r="C5006" s="5" t="s">
        <v>27</v>
      </c>
      <c r="D5006" s="5" t="s">
        <v>28</v>
      </c>
      <c r="E5006" s="5" t="s">
        <v>264</v>
      </c>
      <c r="F5006" s="9">
        <v>49</v>
      </c>
      <c r="G5006" s="9">
        <v>545</v>
      </c>
      <c r="H5006" s="5" t="s">
        <v>20</v>
      </c>
      <c r="I5006" s="5" t="s">
        <v>12036</v>
      </c>
      <c r="J5006" s="12" t="str">
        <f>HYPERLINK("https://www.boe.es/gazeta/dias/1804/06/19/pdfs/GMD-1804-49.pdf#page=7","Abrir facsímil")</f>
        <v>Abrir facsímil</v>
      </c>
      <c r="K5006" s="15" t="s">
        <v>22</v>
      </c>
    </row>
    <row r="5007" spans="1:11" ht="42" customHeight="1">
      <c r="A5007" s="4" t="s">
        <v>12027</v>
      </c>
      <c r="B5007" s="5" t="s">
        <v>12027</v>
      </c>
      <c r="C5007" s="5" t="s">
        <v>27</v>
      </c>
      <c r="D5007" s="5" t="s">
        <v>28</v>
      </c>
      <c r="E5007" s="5" t="s">
        <v>623</v>
      </c>
      <c r="F5007" s="9">
        <v>51</v>
      </c>
      <c r="G5007" s="9">
        <v>565</v>
      </c>
      <c r="H5007" s="5" t="s">
        <v>20</v>
      </c>
      <c r="I5007" s="5" t="s">
        <v>12037</v>
      </c>
      <c r="J5007" s="12" t="str">
        <f>HYPERLINK("https://www.boe.es/gazeta/dias/1804/06/26/pdfs/GMD-1804-51.pdf#page=11","Abrir facsímil")</f>
        <v>Abrir facsímil</v>
      </c>
      <c r="K5007" s="15" t="s">
        <v>22</v>
      </c>
    </row>
    <row r="5008" spans="1:11" ht="42" customHeight="1">
      <c r="A5008" s="4" t="s">
        <v>12027</v>
      </c>
      <c r="B5008" s="5" t="s">
        <v>12027</v>
      </c>
      <c r="C5008" s="5" t="s">
        <v>27</v>
      </c>
      <c r="D5008" s="5" t="s">
        <v>28</v>
      </c>
      <c r="E5008" s="5" t="s">
        <v>132</v>
      </c>
      <c r="F5008" s="9">
        <v>52</v>
      </c>
      <c r="G5008" s="9">
        <v>575</v>
      </c>
      <c r="H5008" s="5" t="s">
        <v>20</v>
      </c>
      <c r="I5008" s="5" t="s">
        <v>12038</v>
      </c>
      <c r="J5008" s="12" t="str">
        <f>HYPERLINK("https://www.boe.es/gazeta/dias/1804/06/29/pdfs/GMD-1804-52.pdf#page=9","Abrir facsímil")</f>
        <v>Abrir facsímil</v>
      </c>
      <c r="K5008" s="15" t="s">
        <v>22</v>
      </c>
    </row>
    <row r="5009" spans="1:11" ht="42" customHeight="1">
      <c r="A5009" s="4" t="s">
        <v>12027</v>
      </c>
      <c r="B5009" s="5" t="s">
        <v>12027</v>
      </c>
      <c r="C5009" s="5" t="s">
        <v>27</v>
      </c>
      <c r="D5009" s="5" t="s">
        <v>28</v>
      </c>
      <c r="E5009" s="5" t="s">
        <v>67</v>
      </c>
      <c r="F5009" s="9">
        <v>59</v>
      </c>
      <c r="G5009" s="9">
        <v>656</v>
      </c>
      <c r="H5009" s="5" t="s">
        <v>20</v>
      </c>
      <c r="I5009" s="5" t="s">
        <v>12039</v>
      </c>
      <c r="J5009" s="12" t="str">
        <f>HYPERLINK("https://www.boe.es/gazeta/dias/1804/07/24/pdfs/GMD-1804-59.pdf#page=10","Abrir facsímil")</f>
        <v>Abrir facsímil</v>
      </c>
      <c r="K5009" s="15" t="s">
        <v>22</v>
      </c>
    </row>
    <row r="5010" spans="1:11" ht="42" customHeight="1">
      <c r="A5010" s="4" t="s">
        <v>12027</v>
      </c>
      <c r="B5010" s="5" t="s">
        <v>12027</v>
      </c>
      <c r="C5010" s="5" t="s">
        <v>27</v>
      </c>
      <c r="D5010" s="5" t="s">
        <v>28</v>
      </c>
      <c r="E5010" s="5" t="s">
        <v>54</v>
      </c>
      <c r="F5010" s="9">
        <v>63</v>
      </c>
      <c r="G5010" s="9">
        <v>701</v>
      </c>
      <c r="H5010" s="5" t="s">
        <v>20</v>
      </c>
      <c r="I5010" s="5" t="s">
        <v>12040</v>
      </c>
      <c r="J5010" s="12" t="str">
        <f>HYPERLINK("https://www.boe.es/gazeta/dias/1804/08/07/pdfs/GMD-1804-63.pdf#page=11","Abrir facsímil")</f>
        <v>Abrir facsímil</v>
      </c>
      <c r="K5010" s="15" t="s">
        <v>22</v>
      </c>
    </row>
    <row r="5011" spans="1:11" ht="42" customHeight="1">
      <c r="A5011" s="4" t="s">
        <v>12027</v>
      </c>
      <c r="B5011" s="5" t="s">
        <v>12027</v>
      </c>
      <c r="C5011" s="5" t="s">
        <v>27</v>
      </c>
      <c r="D5011" s="5" t="s">
        <v>28</v>
      </c>
      <c r="E5011" s="5" t="s">
        <v>378</v>
      </c>
      <c r="F5011" s="9">
        <v>65</v>
      </c>
      <c r="G5011" s="9">
        <v>732</v>
      </c>
      <c r="H5011" s="5" t="s">
        <v>20</v>
      </c>
      <c r="I5011" s="5" t="s">
        <v>12041</v>
      </c>
      <c r="J5011" s="12" t="str">
        <f>HYPERLINK("https://www.boe.es/gazeta/dias/1804/08/14/pdfs/GMD-1804-65.pdf#page=10","Abrir facsímil")</f>
        <v>Abrir facsímil</v>
      </c>
      <c r="K5011" s="15" t="s">
        <v>22</v>
      </c>
    </row>
    <row r="5012" spans="1:11" ht="42" customHeight="1">
      <c r="A5012" s="4" t="s">
        <v>12027</v>
      </c>
      <c r="B5012" s="5" t="s">
        <v>12027</v>
      </c>
      <c r="C5012" s="5" t="s">
        <v>198</v>
      </c>
      <c r="D5012" s="5" t="s">
        <v>66</v>
      </c>
      <c r="E5012" s="5" t="s">
        <v>378</v>
      </c>
      <c r="F5012" s="9">
        <v>65</v>
      </c>
      <c r="G5012" s="9">
        <v>733</v>
      </c>
      <c r="H5012" s="5" t="s">
        <v>20</v>
      </c>
      <c r="I5012" s="5" t="s">
        <v>12042</v>
      </c>
      <c r="J5012" s="12" t="str">
        <f>HYPERLINK("https://www.boe.es/gazeta/dias/1804/08/14/pdfs/GMD-1804-65.pdf#page=11","Abrir facsímil")</f>
        <v>Abrir facsímil</v>
      </c>
      <c r="K5012" s="15" t="s">
        <v>22</v>
      </c>
    </row>
    <row r="5013" spans="1:11" ht="42" customHeight="1">
      <c r="A5013" s="4" t="s">
        <v>12027</v>
      </c>
      <c r="B5013" s="5" t="s">
        <v>12027</v>
      </c>
      <c r="C5013" s="5" t="s">
        <v>27</v>
      </c>
      <c r="D5013" s="5" t="s">
        <v>28</v>
      </c>
      <c r="E5013" s="5" t="s">
        <v>216</v>
      </c>
      <c r="F5013" s="9">
        <v>67</v>
      </c>
      <c r="G5013" s="9">
        <v>752</v>
      </c>
      <c r="H5013" s="5" t="s">
        <v>20</v>
      </c>
      <c r="I5013" s="5" t="s">
        <v>12043</v>
      </c>
      <c r="J5013" s="12" t="str">
        <f>HYPERLINK("https://www.boe.es/gazeta/dias/1804/08/21/pdfs/GMD-1804-67.pdf#page=10","Abrir facsímil")</f>
        <v>Abrir facsímil</v>
      </c>
      <c r="K5013" s="15" t="s">
        <v>22</v>
      </c>
    </row>
    <row r="5014" spans="1:11" ht="42" customHeight="1">
      <c r="A5014" s="4" t="s">
        <v>12027</v>
      </c>
      <c r="B5014" s="5" t="s">
        <v>12027</v>
      </c>
      <c r="C5014" s="5" t="s">
        <v>27</v>
      </c>
      <c r="D5014" s="5" t="s">
        <v>28</v>
      </c>
      <c r="E5014" s="5" t="s">
        <v>547</v>
      </c>
      <c r="F5014" s="9">
        <v>68</v>
      </c>
      <c r="G5014" s="9">
        <v>765</v>
      </c>
      <c r="H5014" s="5" t="s">
        <v>20</v>
      </c>
      <c r="I5014" s="5" t="s">
        <v>12044</v>
      </c>
      <c r="J5014" s="12" t="str">
        <f>HYPERLINK("https://www.boe.es/gazeta/dias/1804/08/24/pdfs/GMD-1804-68.pdf#page=11","Abrir facsímil")</f>
        <v>Abrir facsímil</v>
      </c>
      <c r="K5014" s="15" t="s">
        <v>22</v>
      </c>
    </row>
    <row r="5015" spans="1:11" ht="42" customHeight="1">
      <c r="A5015" s="4" t="s">
        <v>12027</v>
      </c>
      <c r="B5015" s="5" t="s">
        <v>12027</v>
      </c>
      <c r="C5015" s="5" t="s">
        <v>27</v>
      </c>
      <c r="D5015" s="5" t="s">
        <v>28</v>
      </c>
      <c r="E5015" s="5" t="s">
        <v>241</v>
      </c>
      <c r="F5015" s="9">
        <v>71</v>
      </c>
      <c r="G5015" s="9">
        <v>794</v>
      </c>
      <c r="H5015" s="5" t="s">
        <v>20</v>
      </c>
      <c r="I5015" s="5" t="s">
        <v>12045</v>
      </c>
      <c r="J5015" s="12" t="str">
        <f>HYPERLINK("https://www.boe.es/gazeta/dias/1804/09/04/pdfs/GMD-1804-71.pdf#page=8","Abrir facsímil")</f>
        <v>Abrir facsímil</v>
      </c>
      <c r="K5015" s="15" t="s">
        <v>22</v>
      </c>
    </row>
    <row r="5016" spans="1:11" ht="42" customHeight="1">
      <c r="A5016" s="4" t="s">
        <v>12027</v>
      </c>
      <c r="B5016" s="5" t="s">
        <v>12027</v>
      </c>
      <c r="C5016" s="5" t="s">
        <v>17</v>
      </c>
      <c r="D5016" s="5" t="s">
        <v>18</v>
      </c>
      <c r="E5016" s="5" t="s">
        <v>91</v>
      </c>
      <c r="F5016" s="9">
        <v>72</v>
      </c>
      <c r="G5016" s="9">
        <v>809</v>
      </c>
      <c r="H5016" s="5" t="s">
        <v>20</v>
      </c>
      <c r="I5016" s="5" t="s">
        <v>12046</v>
      </c>
      <c r="J5016" s="12" t="str">
        <f>HYPERLINK("https://www.boe.es/gazeta/dias/1804/09/07/pdfs/GMD-1804-72.pdf#page=11","Abrir facsímil")</f>
        <v>Abrir facsímil</v>
      </c>
      <c r="K5016" s="15" t="s">
        <v>22</v>
      </c>
    </row>
    <row r="5017" spans="1:11" ht="42" customHeight="1">
      <c r="A5017" s="4" t="s">
        <v>12027</v>
      </c>
      <c r="B5017" s="5" t="s">
        <v>12027</v>
      </c>
      <c r="C5017" s="5" t="s">
        <v>27</v>
      </c>
      <c r="D5017" s="5" t="s">
        <v>28</v>
      </c>
      <c r="E5017" s="5" t="s">
        <v>1095</v>
      </c>
      <c r="F5017" s="9">
        <v>73</v>
      </c>
      <c r="G5017" s="9">
        <v>822</v>
      </c>
      <c r="H5017" s="5" t="s">
        <v>20</v>
      </c>
      <c r="I5017" s="5" t="s">
        <v>12047</v>
      </c>
      <c r="J5017" s="12" t="str">
        <f>HYPERLINK("https://www.boe.es/gazeta/dias/1804/09/11/pdfs/GMD-1804-73.pdf#page=12","Abrir facsímil")</f>
        <v>Abrir facsímil</v>
      </c>
      <c r="K5017" s="15" t="s">
        <v>22</v>
      </c>
    </row>
    <row r="5018" spans="1:11" ht="42" customHeight="1">
      <c r="A5018" s="4" t="s">
        <v>12027</v>
      </c>
      <c r="B5018" s="5" t="s">
        <v>12027</v>
      </c>
      <c r="C5018" s="5" t="s">
        <v>27</v>
      </c>
      <c r="D5018" s="5" t="s">
        <v>28</v>
      </c>
      <c r="E5018" s="5" t="s">
        <v>637</v>
      </c>
      <c r="F5018" s="9">
        <v>74</v>
      </c>
      <c r="G5018" s="9">
        <v>833</v>
      </c>
      <c r="H5018" s="5" t="s">
        <v>20</v>
      </c>
      <c r="I5018" s="5" t="s">
        <v>12048</v>
      </c>
      <c r="J5018" s="12" t="str">
        <f>HYPERLINK("https://www.boe.es/gazeta/dias/1804/09/14/pdfs/GMD-1804-74.pdf#page=11","Abrir facsímil")</f>
        <v>Abrir facsímil</v>
      </c>
      <c r="K5018" s="15" t="s">
        <v>22</v>
      </c>
    </row>
    <row r="5019" spans="1:11" ht="42" customHeight="1">
      <c r="A5019" s="4" t="s">
        <v>12049</v>
      </c>
      <c r="B5019" s="5" t="s">
        <v>12049</v>
      </c>
      <c r="C5019" s="5" t="s">
        <v>27</v>
      </c>
      <c r="D5019" s="5" t="s">
        <v>28</v>
      </c>
      <c r="E5019" s="5" t="s">
        <v>466</v>
      </c>
      <c r="F5019" s="9">
        <v>76</v>
      </c>
      <c r="G5019" s="9">
        <v>849</v>
      </c>
      <c r="H5019" s="5" t="s">
        <v>20</v>
      </c>
      <c r="I5019" s="5" t="s">
        <v>12050</v>
      </c>
      <c r="J5019" s="12" t="str">
        <f>HYPERLINK("https://www.boe.es/gazeta/dias/1804/09/21/pdfs/GMD-1804-76.pdf#page=7","Abrir facsímil")</f>
        <v>Abrir facsímil</v>
      </c>
      <c r="K5019" s="15" t="s">
        <v>22</v>
      </c>
    </row>
    <row r="5020" spans="1:11" ht="42" customHeight="1">
      <c r="A5020" s="4" t="s">
        <v>12027</v>
      </c>
      <c r="B5020" s="5" t="s">
        <v>12027</v>
      </c>
      <c r="C5020" s="5" t="s">
        <v>65</v>
      </c>
      <c r="D5020" s="5" t="s">
        <v>66</v>
      </c>
      <c r="E5020" s="5" t="s">
        <v>43</v>
      </c>
      <c r="F5020" s="9">
        <v>84</v>
      </c>
      <c r="G5020" s="9">
        <v>929</v>
      </c>
      <c r="H5020" s="5" t="s">
        <v>20</v>
      </c>
      <c r="I5020" s="5" t="s">
        <v>12051</v>
      </c>
      <c r="J5020" s="12" t="str">
        <f>HYPERLINK("https://www.boe.es/gazeta/dias/1804/10/19/pdfs/GMD-1804-84.pdf#page=7","Abrir facsímil")</f>
        <v>Abrir facsímil</v>
      </c>
      <c r="K5020" s="15" t="s">
        <v>22</v>
      </c>
    </row>
    <row r="5021" spans="1:11" ht="42" customHeight="1">
      <c r="A5021" s="4" t="s">
        <v>12027</v>
      </c>
      <c r="B5021" s="5" t="s">
        <v>12027</v>
      </c>
      <c r="C5021" s="5" t="s">
        <v>27</v>
      </c>
      <c r="D5021" s="5" t="s">
        <v>28</v>
      </c>
      <c r="E5021" s="5" t="s">
        <v>143</v>
      </c>
      <c r="F5021" s="9">
        <v>87</v>
      </c>
      <c r="G5021" s="9">
        <v>966</v>
      </c>
      <c r="H5021" s="5" t="s">
        <v>20</v>
      </c>
      <c r="I5021" s="5" t="s">
        <v>12052</v>
      </c>
      <c r="J5021" s="12" t="str">
        <f>HYPERLINK("https://www.boe.es/gazeta/dias/1804/10/30/pdfs/GMD-1804-87.pdf#page=10","Abrir facsímil")</f>
        <v>Abrir facsímil</v>
      </c>
      <c r="K5021" s="15" t="s">
        <v>22</v>
      </c>
    </row>
    <row r="5022" spans="1:11" ht="42" customHeight="1">
      <c r="A5022" s="4" t="s">
        <v>12027</v>
      </c>
      <c r="B5022" s="5" t="s">
        <v>12027</v>
      </c>
      <c r="C5022" s="5" t="s">
        <v>27</v>
      </c>
      <c r="D5022" s="5" t="s">
        <v>28</v>
      </c>
      <c r="E5022" s="5" t="s">
        <v>950</v>
      </c>
      <c r="F5022" s="9">
        <v>90</v>
      </c>
      <c r="G5022" s="9">
        <v>1000</v>
      </c>
      <c r="H5022" s="5" t="s">
        <v>20</v>
      </c>
      <c r="I5022" s="5" t="s">
        <v>12053</v>
      </c>
      <c r="J5022" s="12" t="str">
        <f>HYPERLINK("https://www.boe.es/gazeta/dias/1804/11/09/pdfs/GMD-1804-90.pdf#page=8","Abrir facsímil")</f>
        <v>Abrir facsímil</v>
      </c>
      <c r="K5022" s="15" t="s">
        <v>22</v>
      </c>
    </row>
    <row r="5023" spans="1:11" ht="42" customHeight="1">
      <c r="A5023" s="4" t="s">
        <v>12027</v>
      </c>
      <c r="B5023" s="5" t="s">
        <v>12027</v>
      </c>
      <c r="C5023" s="5" t="s">
        <v>27</v>
      </c>
      <c r="D5023" s="5" t="s">
        <v>28</v>
      </c>
      <c r="E5023" s="5" t="s">
        <v>23</v>
      </c>
      <c r="F5023" s="9">
        <v>91</v>
      </c>
      <c r="G5023" s="9">
        <v>1010</v>
      </c>
      <c r="H5023" s="5" t="s">
        <v>20</v>
      </c>
      <c r="I5023" s="5" t="s">
        <v>12054</v>
      </c>
      <c r="J5023" s="12" t="str">
        <f>HYPERLINK("https://www.boe.es/gazeta/dias/1804/11/13/pdfs/GMD-1804-91.pdf#page=10","Abrir facsímil")</f>
        <v>Abrir facsímil</v>
      </c>
      <c r="K5023" s="15" t="s">
        <v>22</v>
      </c>
    </row>
    <row r="5024" spans="1:11" ht="42" customHeight="1">
      <c r="A5024" s="4" t="s">
        <v>12027</v>
      </c>
      <c r="B5024" s="5" t="s">
        <v>12027</v>
      </c>
      <c r="C5024" s="5" t="s">
        <v>27</v>
      </c>
      <c r="D5024" s="5" t="s">
        <v>28</v>
      </c>
      <c r="E5024" s="5" t="s">
        <v>308</v>
      </c>
      <c r="F5024" s="9">
        <v>96</v>
      </c>
      <c r="G5024" s="9">
        <v>1072</v>
      </c>
      <c r="H5024" s="5" t="s">
        <v>20</v>
      </c>
      <c r="I5024" s="5" t="s">
        <v>12055</v>
      </c>
      <c r="J5024" s="12" t="str">
        <f>HYPERLINK("https://www.boe.es/gazeta/dias/1804/11/30/pdfs/GMD-1804-96.pdf#page=12","Abrir facsímil")</f>
        <v>Abrir facsímil</v>
      </c>
      <c r="K5024" s="15" t="s">
        <v>22</v>
      </c>
    </row>
    <row r="5025" spans="1:11" ht="42" customHeight="1">
      <c r="A5025" s="4" t="s">
        <v>12027</v>
      </c>
      <c r="B5025" s="5" t="s">
        <v>12027</v>
      </c>
      <c r="C5025" s="5" t="s">
        <v>27</v>
      </c>
      <c r="D5025" s="5" t="s">
        <v>28</v>
      </c>
      <c r="E5025" s="5" t="s">
        <v>71</v>
      </c>
      <c r="F5025" s="9">
        <v>99</v>
      </c>
      <c r="G5025" s="9">
        <v>1108</v>
      </c>
      <c r="H5025" s="5" t="s">
        <v>20</v>
      </c>
      <c r="I5025" s="5" t="s">
        <v>12056</v>
      </c>
      <c r="J5025" s="12" t="str">
        <f>HYPERLINK("https://www.boe.es/gazeta/dias/1804/12/11/pdfs/GMD-1804-99.pdf#page=8","Abrir facsímil")</f>
        <v>Abrir facsímil</v>
      </c>
      <c r="K5025" s="15" t="s">
        <v>22</v>
      </c>
    </row>
    <row r="5026" spans="1:11" ht="42" customHeight="1">
      <c r="A5026" s="4" t="s">
        <v>12057</v>
      </c>
      <c r="B5026" s="5" t="s">
        <v>12057</v>
      </c>
      <c r="C5026" s="5" t="s">
        <v>27</v>
      </c>
      <c r="D5026" s="5" t="s">
        <v>28</v>
      </c>
      <c r="E5026" s="5" t="s">
        <v>212</v>
      </c>
      <c r="F5026" s="9">
        <v>89</v>
      </c>
      <c r="G5026" s="9">
        <v>991</v>
      </c>
      <c r="H5026" s="5" t="s">
        <v>20</v>
      </c>
      <c r="I5026" s="5" t="s">
        <v>12058</v>
      </c>
      <c r="J5026" s="12" t="str">
        <f>HYPERLINK("https://www.boe.es/gazeta/dias/1804/11/06/pdfs/GMD-1804-89.pdf#page=11","Abrir facsímil")</f>
        <v>Abrir facsímil</v>
      </c>
      <c r="K5026" s="15" t="s">
        <v>22</v>
      </c>
    </row>
    <row r="5027" spans="1:11" ht="42" customHeight="1">
      <c r="A5027" s="4" t="s">
        <v>12059</v>
      </c>
      <c r="B5027" s="5" t="s">
        <v>12059</v>
      </c>
      <c r="C5027" s="5" t="s">
        <v>198</v>
      </c>
      <c r="D5027" s="5" t="s">
        <v>66</v>
      </c>
      <c r="E5027" s="5" t="s">
        <v>484</v>
      </c>
      <c r="F5027" s="9">
        <v>53</v>
      </c>
      <c r="G5027" s="9">
        <v>593</v>
      </c>
      <c r="H5027" s="5" t="s">
        <v>20</v>
      </c>
      <c r="I5027" s="5" t="s">
        <v>12060</v>
      </c>
      <c r="J5027" s="12" t="str">
        <f>HYPERLINK("https://www.boe.es/gazeta/dias/1804/07/03/pdfs/GMD-1804-53.pdf#page=11","Abrir facsímil")</f>
        <v>Abrir facsímil</v>
      </c>
      <c r="K5027" s="15" t="s">
        <v>22</v>
      </c>
    </row>
    <row r="5028" spans="1:11" ht="42" customHeight="1">
      <c r="A5028" s="4" t="s">
        <v>12061</v>
      </c>
      <c r="B5028" s="5" t="s">
        <v>12061</v>
      </c>
      <c r="C5028" s="5" t="s">
        <v>85</v>
      </c>
      <c r="D5028" s="5" t="s">
        <v>86</v>
      </c>
      <c r="E5028" s="5" t="s">
        <v>91</v>
      </c>
      <c r="F5028" s="9">
        <v>72</v>
      </c>
      <c r="G5028" s="9">
        <v>807</v>
      </c>
      <c r="H5028" s="5" t="s">
        <v>20</v>
      </c>
      <c r="I5028" s="5" t="s">
        <v>12062</v>
      </c>
      <c r="J5028" s="12" t="str">
        <f>HYPERLINK("https://www.boe.es/gazeta/dias/1804/09/07/pdfs/GMD-1804-72.pdf#page=9","Abrir facsímil")</f>
        <v>Abrir facsímil</v>
      </c>
      <c r="K5028" s="15" t="s">
        <v>22</v>
      </c>
    </row>
    <row r="5029" spans="1:11" ht="42" customHeight="1">
      <c r="A5029" s="4" t="s">
        <v>12063</v>
      </c>
      <c r="B5029" s="5" t="s">
        <v>12063</v>
      </c>
      <c r="C5029" s="5" t="s">
        <v>198</v>
      </c>
      <c r="D5029" s="5" t="s">
        <v>66</v>
      </c>
      <c r="E5029" s="5" t="s">
        <v>41</v>
      </c>
      <c r="F5029" s="9">
        <v>24</v>
      </c>
      <c r="G5029" s="9">
        <v>274</v>
      </c>
      <c r="H5029" s="5" t="s">
        <v>20</v>
      </c>
      <c r="I5029" s="5" t="s">
        <v>12064</v>
      </c>
      <c r="J5029" s="12" t="str">
        <f>HYPERLINK("https://www.boe.es/gazeta/dias/1804/03/23/pdfs/GMD-1804-24.pdf#page=8","Abrir facsímil")</f>
        <v>Abrir facsímil</v>
      </c>
      <c r="K5029" s="15" t="s">
        <v>22</v>
      </c>
    </row>
    <row r="5030" spans="1:11" ht="42" customHeight="1">
      <c r="A5030" s="4" t="s">
        <v>12063</v>
      </c>
      <c r="B5030" s="5" t="s">
        <v>12063</v>
      </c>
      <c r="C5030" s="5" t="s">
        <v>17</v>
      </c>
      <c r="D5030" s="5" t="s">
        <v>18</v>
      </c>
      <c r="E5030" s="5" t="s">
        <v>857</v>
      </c>
      <c r="F5030" s="9">
        <v>28</v>
      </c>
      <c r="G5030" s="9">
        <v>309</v>
      </c>
      <c r="H5030" s="5" t="s">
        <v>20</v>
      </c>
      <c r="I5030" s="5" t="s">
        <v>12065</v>
      </c>
      <c r="J5030" s="12" t="str">
        <f>HYPERLINK("https://www.boe.es/gazeta/dias/1804/04/06/pdfs/GMD-1804-28.pdf#page=7","Abrir facsímil")</f>
        <v>Abrir facsímil</v>
      </c>
      <c r="K5030" s="15" t="s">
        <v>22</v>
      </c>
    </row>
    <row r="5031" spans="1:11" ht="42" customHeight="1">
      <c r="A5031" s="4" t="s">
        <v>12066</v>
      </c>
      <c r="B5031" s="5" t="s">
        <v>12066</v>
      </c>
      <c r="C5031" s="5" t="s">
        <v>17</v>
      </c>
      <c r="D5031" s="5" t="s">
        <v>18</v>
      </c>
      <c r="E5031" s="5" t="s">
        <v>637</v>
      </c>
      <c r="F5031" s="9">
        <v>74</v>
      </c>
      <c r="G5031" s="9">
        <v>829</v>
      </c>
      <c r="H5031" s="5" t="s">
        <v>20</v>
      </c>
      <c r="I5031" s="5" t="s">
        <v>12067</v>
      </c>
      <c r="J5031" s="12" t="str">
        <f>HYPERLINK("https://www.boe.es/gazeta/dias/1804/09/14/pdfs/GMD-1804-74.pdf#page=7","Abrir facsímil")</f>
        <v>Abrir facsímil</v>
      </c>
      <c r="K5031" s="15" t="s">
        <v>22</v>
      </c>
    </row>
    <row r="5032" spans="1:11" ht="42" customHeight="1">
      <c r="A5032" s="4" t="s">
        <v>12068</v>
      </c>
      <c r="B5032" s="5" t="s">
        <v>12069</v>
      </c>
      <c r="C5032" s="5" t="s">
        <v>120</v>
      </c>
      <c r="D5032" s="5" t="s">
        <v>121</v>
      </c>
      <c r="E5032" s="5" t="s">
        <v>33</v>
      </c>
      <c r="F5032" s="9">
        <v>48</v>
      </c>
      <c r="G5032" s="9" t="s">
        <v>122</v>
      </c>
      <c r="H5032" s="5" t="s">
        <v>20</v>
      </c>
      <c r="I5032" s="5" t="s">
        <v>12070</v>
      </c>
      <c r="J5032" s="12" t="str">
        <f>HYPERLINK("https://www.boe.es/gazeta/dias/1804/06/15/pdfs/GMD-C-1804-48.pdf#page=3","Abrir facsímil")</f>
        <v>Abrir facsímil</v>
      </c>
      <c r="K5032" s="15" t="s">
        <v>22</v>
      </c>
    </row>
    <row r="5033" spans="1:11" ht="42" customHeight="1">
      <c r="A5033" s="4" t="s">
        <v>12071</v>
      </c>
      <c r="B5033" s="5" t="s">
        <v>12072</v>
      </c>
      <c r="C5033" s="5" t="s">
        <v>17</v>
      </c>
      <c r="D5033" s="5" t="s">
        <v>18</v>
      </c>
      <c r="E5033" s="5" t="s">
        <v>71</v>
      </c>
      <c r="F5033" s="9">
        <v>99</v>
      </c>
      <c r="G5033" s="9">
        <v>1106</v>
      </c>
      <c r="H5033" s="5" t="s">
        <v>20</v>
      </c>
      <c r="I5033" s="5" t="s">
        <v>12073</v>
      </c>
      <c r="J5033" s="12" t="str">
        <f>HYPERLINK("https://www.boe.es/gazeta/dias/1804/12/11/pdfs/GMD-1804-99.pdf#page=6","Abrir facsímil")</f>
        <v>Abrir facsímil</v>
      </c>
      <c r="K5033" s="15" t="s">
        <v>22</v>
      </c>
    </row>
    <row r="5034" spans="1:11" ht="42" customHeight="1">
      <c r="A5034" s="4" t="s">
        <v>12074</v>
      </c>
      <c r="B5034" s="5" t="s">
        <v>12075</v>
      </c>
      <c r="C5034" s="5" t="s">
        <v>65</v>
      </c>
      <c r="D5034" s="5" t="s">
        <v>66</v>
      </c>
      <c r="E5034" s="5" t="s">
        <v>147</v>
      </c>
      <c r="F5034" s="9">
        <v>77</v>
      </c>
      <c r="G5034" s="9">
        <v>858</v>
      </c>
      <c r="H5034" s="5" t="s">
        <v>20</v>
      </c>
      <c r="I5034" s="5" t="s">
        <v>12076</v>
      </c>
      <c r="J5034" s="12" t="str">
        <f>HYPERLINK("https://www.boe.es/gazeta/dias/1804/09/25/pdfs/GMD-1804-77.pdf#page=8","Abrir facsímil")</f>
        <v>Abrir facsímil</v>
      </c>
      <c r="K5034" s="15" t="s">
        <v>22</v>
      </c>
    </row>
    <row r="5035" spans="1:11" ht="42" customHeight="1">
      <c r="A5035" s="4" t="s">
        <v>12077</v>
      </c>
      <c r="B5035" s="5" t="s">
        <v>12078</v>
      </c>
      <c r="C5035" s="5" t="s">
        <v>27</v>
      </c>
      <c r="D5035" s="5" t="s">
        <v>28</v>
      </c>
      <c r="E5035" s="5" t="s">
        <v>378</v>
      </c>
      <c r="F5035" s="9">
        <v>65</v>
      </c>
      <c r="G5035" s="9">
        <v>732</v>
      </c>
      <c r="H5035" s="5" t="s">
        <v>20</v>
      </c>
      <c r="I5035" s="5" t="s">
        <v>12079</v>
      </c>
      <c r="J5035" s="12" t="str">
        <f>HYPERLINK("https://www.boe.es/gazeta/dias/1804/08/14/pdfs/GMD-1804-65.pdf#page=10","Abrir facsímil")</f>
        <v>Abrir facsímil</v>
      </c>
      <c r="K5035" s="15" t="s">
        <v>22</v>
      </c>
    </row>
    <row r="5036" spans="1:11" ht="42" customHeight="1">
      <c r="A5036" s="4" t="s">
        <v>12080</v>
      </c>
      <c r="B5036" s="5" t="s">
        <v>12081</v>
      </c>
      <c r="C5036" s="5" t="s">
        <v>65</v>
      </c>
      <c r="D5036" s="5" t="s">
        <v>66</v>
      </c>
      <c r="E5036" s="5" t="s">
        <v>360</v>
      </c>
      <c r="F5036" s="9">
        <v>81</v>
      </c>
      <c r="G5036" s="9">
        <v>897</v>
      </c>
      <c r="H5036" s="5" t="s">
        <v>20</v>
      </c>
      <c r="I5036" s="5" t="s">
        <v>12082</v>
      </c>
      <c r="J5036" s="12" t="str">
        <f>HYPERLINK("https://www.boe.es/gazeta/dias/1804/10/09/pdfs/GMD-1804-81.pdf#page=7","Abrir facsímil")</f>
        <v>Abrir facsímil</v>
      </c>
      <c r="K5036" s="15" t="s">
        <v>22</v>
      </c>
    </row>
    <row r="5037" spans="1:11" ht="42" customHeight="1">
      <c r="A5037" s="4" t="s">
        <v>12083</v>
      </c>
      <c r="B5037" s="5" t="s">
        <v>12084</v>
      </c>
      <c r="C5037" s="5" t="s">
        <v>27</v>
      </c>
      <c r="D5037" s="5" t="s">
        <v>28</v>
      </c>
      <c r="E5037" s="5" t="s">
        <v>91</v>
      </c>
      <c r="F5037" s="9">
        <v>72</v>
      </c>
      <c r="G5037" s="9">
        <v>805</v>
      </c>
      <c r="H5037" s="5" t="s">
        <v>20</v>
      </c>
      <c r="I5037" s="5" t="s">
        <v>12085</v>
      </c>
      <c r="J5037" s="12" t="str">
        <f>HYPERLINK("https://www.boe.es/gazeta/dias/1804/09/07/pdfs/GMD-1804-72.pdf#page=7","Abrir facsímil")</f>
        <v>Abrir facsímil</v>
      </c>
      <c r="K5037" s="15" t="s">
        <v>22</v>
      </c>
    </row>
    <row r="5038" spans="1:11" ht="42" customHeight="1">
      <c r="A5038" s="4" t="s">
        <v>12086</v>
      </c>
      <c r="B5038" s="5" t="s">
        <v>12087</v>
      </c>
      <c r="C5038" s="5" t="s">
        <v>27</v>
      </c>
      <c r="D5038" s="5" t="s">
        <v>28</v>
      </c>
      <c r="E5038" s="5" t="s">
        <v>151</v>
      </c>
      <c r="F5038" s="9">
        <v>13</v>
      </c>
      <c r="G5038" s="9">
        <v>142</v>
      </c>
      <c r="H5038" s="5" t="s">
        <v>20</v>
      </c>
      <c r="I5038" s="5" t="s">
        <v>12088</v>
      </c>
      <c r="J5038" s="12" t="str">
        <f>HYPERLINK("https://www.boe.es/gazeta/dias/1804/02/14/pdfs/GMD-1804-13.pdf#page=6","Abrir facsímil")</f>
        <v>Abrir facsímil</v>
      </c>
      <c r="K5038" s="15" t="s">
        <v>22</v>
      </c>
    </row>
    <row r="5039" spans="1:11" ht="42" customHeight="1">
      <c r="A5039" s="4" t="s">
        <v>12086</v>
      </c>
      <c r="B5039" s="5" t="s">
        <v>12087</v>
      </c>
      <c r="C5039" s="5" t="s">
        <v>27</v>
      </c>
      <c r="D5039" s="5" t="s">
        <v>28</v>
      </c>
      <c r="E5039" s="5" t="s">
        <v>421</v>
      </c>
      <c r="F5039" s="9">
        <v>47</v>
      </c>
      <c r="G5039" s="9">
        <v>529</v>
      </c>
      <c r="H5039" s="5" t="s">
        <v>20</v>
      </c>
      <c r="I5039" s="5" t="s">
        <v>12089</v>
      </c>
      <c r="J5039" s="12" t="str">
        <f>HYPERLINK("https://www.boe.es/gazeta/dias/1804/06/12/pdfs/GMD-1804-47.pdf#page=11","Abrir facsímil")</f>
        <v>Abrir facsímil</v>
      </c>
      <c r="K5039" s="15" t="s">
        <v>22</v>
      </c>
    </row>
    <row r="5040" spans="1:11" ht="42" customHeight="1">
      <c r="A5040" s="4" t="s">
        <v>12086</v>
      </c>
      <c r="B5040" s="5" t="s">
        <v>12087</v>
      </c>
      <c r="C5040" s="5" t="s">
        <v>27</v>
      </c>
      <c r="D5040" s="5" t="s">
        <v>28</v>
      </c>
      <c r="E5040" s="5" t="s">
        <v>666</v>
      </c>
      <c r="F5040" s="9">
        <v>57</v>
      </c>
      <c r="G5040" s="9">
        <v>634</v>
      </c>
      <c r="H5040" s="5" t="s">
        <v>20</v>
      </c>
      <c r="I5040" s="5" t="s">
        <v>12090</v>
      </c>
      <c r="J5040" s="12" t="str">
        <f>HYPERLINK("https://www.boe.es/gazeta/dias/1804/07/17/pdfs/GMD-1804-57.pdf#page=12","Abrir facsímil")</f>
        <v>Abrir facsímil</v>
      </c>
      <c r="K5040" s="15" t="s">
        <v>22</v>
      </c>
    </row>
    <row r="5041" spans="1:11" ht="42" customHeight="1">
      <c r="A5041" s="4" t="s">
        <v>12086</v>
      </c>
      <c r="B5041" s="5" t="s">
        <v>12087</v>
      </c>
      <c r="C5041" s="5" t="s">
        <v>27</v>
      </c>
      <c r="D5041" s="5" t="s">
        <v>28</v>
      </c>
      <c r="E5041" s="5" t="s">
        <v>91</v>
      </c>
      <c r="F5041" s="9">
        <v>72</v>
      </c>
      <c r="G5041" s="9">
        <v>808</v>
      </c>
      <c r="H5041" s="5" t="s">
        <v>20</v>
      </c>
      <c r="I5041" s="5" t="s">
        <v>12091</v>
      </c>
      <c r="J5041" s="12" t="str">
        <f>HYPERLINK("https://www.boe.es/gazeta/dias/1804/09/07/pdfs/GMD-1804-72.pdf#page=10","Abrir facsímil")</f>
        <v>Abrir facsímil</v>
      </c>
      <c r="K5041" s="15" t="s">
        <v>22</v>
      </c>
    </row>
    <row r="5042" spans="1:11" ht="42" customHeight="1">
      <c r="A5042" s="4" t="s">
        <v>12092</v>
      </c>
      <c r="B5042" s="5" t="s">
        <v>12093</v>
      </c>
      <c r="C5042" s="5" t="s">
        <v>17</v>
      </c>
      <c r="D5042" s="5" t="s">
        <v>18</v>
      </c>
      <c r="E5042" s="5" t="s">
        <v>421</v>
      </c>
      <c r="F5042" s="9">
        <v>47</v>
      </c>
      <c r="G5042" s="9">
        <v>527</v>
      </c>
      <c r="H5042" s="5" t="s">
        <v>20</v>
      </c>
      <c r="I5042" s="5" t="s">
        <v>12094</v>
      </c>
      <c r="J5042" s="12" t="str">
        <f>HYPERLINK("https://www.boe.es/gazeta/dias/1804/06/12/pdfs/GMD-1804-47.pdf#page=9","Abrir facsímil")</f>
        <v>Abrir facsímil</v>
      </c>
      <c r="K5042" s="15" t="s">
        <v>22</v>
      </c>
    </row>
    <row r="5043" spans="1:11" ht="42" customHeight="1">
      <c r="A5043" s="4" t="s">
        <v>12095</v>
      </c>
      <c r="B5043" s="5" t="s">
        <v>12095</v>
      </c>
      <c r="C5043" s="5" t="s">
        <v>27</v>
      </c>
      <c r="D5043" s="5" t="s">
        <v>28</v>
      </c>
      <c r="E5043" s="5" t="s">
        <v>132</v>
      </c>
      <c r="F5043" s="9">
        <v>52</v>
      </c>
      <c r="G5043" s="9">
        <v>573</v>
      </c>
      <c r="H5043" s="5" t="s">
        <v>20</v>
      </c>
      <c r="I5043" s="5" t="s">
        <v>12096</v>
      </c>
      <c r="J5043" s="12" t="str">
        <f>HYPERLINK("https://www.boe.es/gazeta/dias/1804/06/29/pdfs/GMD-1804-52.pdf#page=7","Abrir facsímil")</f>
        <v>Abrir facsímil</v>
      </c>
      <c r="K5043" s="15" t="s">
        <v>22</v>
      </c>
    </row>
    <row r="5044" spans="1:11" ht="42" customHeight="1">
      <c r="A5044" s="4" t="s">
        <v>12097</v>
      </c>
      <c r="B5044" s="5" t="s">
        <v>12098</v>
      </c>
      <c r="C5044" s="5" t="s">
        <v>27</v>
      </c>
      <c r="D5044" s="5" t="s">
        <v>28</v>
      </c>
      <c r="E5044" s="5" t="s">
        <v>623</v>
      </c>
      <c r="F5044" s="9">
        <v>51</v>
      </c>
      <c r="G5044" s="9">
        <v>562</v>
      </c>
      <c r="H5044" s="5" t="s">
        <v>20</v>
      </c>
      <c r="I5044" s="5" t="s">
        <v>12099</v>
      </c>
      <c r="J5044" s="12" t="str">
        <f>HYPERLINK("https://www.boe.es/gazeta/dias/1804/06/26/pdfs/GMD-1804-51.pdf#page=8","Abrir facsímil")</f>
        <v>Abrir facsímil</v>
      </c>
      <c r="K5044" s="15" t="s">
        <v>22</v>
      </c>
    </row>
    <row r="5045" spans="1:11" ht="42" customHeight="1">
      <c r="A5045" s="4" t="s">
        <v>12100</v>
      </c>
      <c r="B5045" s="5" t="s">
        <v>12101</v>
      </c>
      <c r="C5045" s="5" t="s">
        <v>17</v>
      </c>
      <c r="D5045" s="5" t="s">
        <v>18</v>
      </c>
      <c r="E5045" s="5" t="s">
        <v>421</v>
      </c>
      <c r="F5045" s="9">
        <v>47</v>
      </c>
      <c r="G5045" s="9">
        <v>528</v>
      </c>
      <c r="H5045" s="5" t="s">
        <v>20</v>
      </c>
      <c r="I5045" s="5" t="s">
        <v>12102</v>
      </c>
      <c r="J5045" s="12" t="str">
        <f>HYPERLINK("https://www.boe.es/gazeta/dias/1804/06/12/pdfs/GMD-1804-47.pdf#page=10","Abrir facsímil")</f>
        <v>Abrir facsímil</v>
      </c>
      <c r="K5045" s="15" t="s">
        <v>22</v>
      </c>
    </row>
    <row r="5046" spans="1:11" ht="42" customHeight="1">
      <c r="A5046" s="4" t="s">
        <v>12103</v>
      </c>
      <c r="B5046" s="5" t="s">
        <v>12104</v>
      </c>
      <c r="C5046" s="5" t="s">
        <v>27</v>
      </c>
      <c r="D5046" s="5" t="s">
        <v>28</v>
      </c>
      <c r="E5046" s="5" t="s">
        <v>106</v>
      </c>
      <c r="F5046" s="9">
        <v>34</v>
      </c>
      <c r="G5046" s="9">
        <v>375</v>
      </c>
      <c r="H5046" s="5" t="s">
        <v>20</v>
      </c>
      <c r="I5046" s="5" t="s">
        <v>12105</v>
      </c>
      <c r="J5046" s="12" t="str">
        <f>HYPERLINK("https://www.boe.es/gazeta/dias/1804/04/27/pdfs/GMD-1804-34.pdf#page=5","Abrir facsímil")</f>
        <v>Abrir facsímil</v>
      </c>
      <c r="K5046" s="15" t="s">
        <v>22</v>
      </c>
    </row>
    <row r="5047" spans="1:11" ht="42" customHeight="1">
      <c r="A5047" s="4" t="s">
        <v>12106</v>
      </c>
      <c r="B5047" s="5" t="s">
        <v>12107</v>
      </c>
      <c r="C5047" s="5" t="s">
        <v>198</v>
      </c>
      <c r="D5047" s="5" t="s">
        <v>66</v>
      </c>
      <c r="E5047" s="5" t="s">
        <v>272</v>
      </c>
      <c r="F5047" s="9">
        <v>30</v>
      </c>
      <c r="G5047" s="9">
        <v>334</v>
      </c>
      <c r="H5047" s="5" t="s">
        <v>20</v>
      </c>
      <c r="I5047" s="5" t="s">
        <v>12108</v>
      </c>
      <c r="J5047" s="12" t="str">
        <f>HYPERLINK("https://www.boe.es/gazeta/dias/1804/04/13/pdfs/GMD-1804-30.pdf#page=12","Abrir facsímil")</f>
        <v>Abrir facsímil</v>
      </c>
      <c r="K5047" s="15" t="s">
        <v>22</v>
      </c>
    </row>
    <row r="5048" spans="1:11" ht="42" customHeight="1">
      <c r="A5048" s="4" t="s">
        <v>12109</v>
      </c>
      <c r="B5048" s="5" t="s">
        <v>12109</v>
      </c>
      <c r="C5048" s="5" t="s">
        <v>57</v>
      </c>
      <c r="D5048" s="5" t="s">
        <v>58</v>
      </c>
      <c r="E5048" s="5" t="s">
        <v>511</v>
      </c>
      <c r="F5048" s="9">
        <v>12</v>
      </c>
      <c r="G5048" s="9">
        <v>129</v>
      </c>
      <c r="H5048" s="5" t="s">
        <v>20</v>
      </c>
      <c r="I5048" s="5" t="s">
        <v>12110</v>
      </c>
      <c r="J5048" s="12" t="str">
        <f>HYPERLINK("https://www.boe.es/gazeta/dias/1804/02/10/pdfs/GMD-1804-12.pdf#page=5","Abrir facsímil")</f>
        <v>Abrir facsímil</v>
      </c>
      <c r="K5048" s="15" t="s">
        <v>22</v>
      </c>
    </row>
    <row r="5049" spans="1:11" ht="42" customHeight="1">
      <c r="A5049" s="4" t="s">
        <v>12111</v>
      </c>
      <c r="B5049" s="5" t="s">
        <v>12111</v>
      </c>
      <c r="C5049" s="5" t="s">
        <v>57</v>
      </c>
      <c r="D5049" s="5" t="s">
        <v>58</v>
      </c>
      <c r="E5049" s="5" t="s">
        <v>230</v>
      </c>
      <c r="F5049" s="9">
        <v>26</v>
      </c>
      <c r="G5049" s="9">
        <v>287</v>
      </c>
      <c r="H5049" s="5" t="s">
        <v>20</v>
      </c>
      <c r="I5049" s="5" t="s">
        <v>12112</v>
      </c>
      <c r="J5049" s="12" t="str">
        <f>HYPERLINK("https://www.boe.es/gazeta/dias/1804/03/30/pdfs/GMD-1804-26.pdf#page=1","Abrir facsímil")</f>
        <v>Abrir facsímil</v>
      </c>
      <c r="K5049" s="15" t="s">
        <v>22</v>
      </c>
    </row>
    <row r="5050" spans="1:11" ht="42" customHeight="1">
      <c r="A5050" s="4" t="s">
        <v>12113</v>
      </c>
      <c r="B5050" s="5" t="s">
        <v>12114</v>
      </c>
      <c r="C5050" s="5" t="s">
        <v>27</v>
      </c>
      <c r="D5050" s="5" t="s">
        <v>28</v>
      </c>
      <c r="E5050" s="5" t="s">
        <v>526</v>
      </c>
      <c r="F5050" s="9">
        <v>95</v>
      </c>
      <c r="G5050" s="9">
        <v>1060</v>
      </c>
      <c r="H5050" s="5" t="s">
        <v>20</v>
      </c>
      <c r="I5050" s="5" t="s">
        <v>12115</v>
      </c>
      <c r="J5050" s="12" t="str">
        <f>HYPERLINK("https://www.boe.es/gazeta/dias/1804/11/27/pdfs/GMD-1804-95.pdf#page=12","Abrir facsímil")</f>
        <v>Abrir facsímil</v>
      </c>
      <c r="K5050" s="15" t="s">
        <v>22</v>
      </c>
    </row>
    <row r="5051" spans="1:11" ht="42" customHeight="1">
      <c r="A5051" s="4" t="s">
        <v>12113</v>
      </c>
      <c r="B5051" s="5" t="s">
        <v>12114</v>
      </c>
      <c r="C5051" s="5" t="s">
        <v>27</v>
      </c>
      <c r="D5051" s="5" t="s">
        <v>28</v>
      </c>
      <c r="E5051" s="5" t="s">
        <v>208</v>
      </c>
      <c r="F5051" s="9">
        <v>97</v>
      </c>
      <c r="G5051" s="9">
        <v>1084</v>
      </c>
      <c r="H5051" s="5" t="s">
        <v>20</v>
      </c>
      <c r="I5051" s="5" t="s">
        <v>12116</v>
      </c>
      <c r="J5051" s="12" t="str">
        <f>HYPERLINK("https://www.boe.es/gazeta/dias/1804/12/04/pdfs/GMD-1804-97.pdf#page=12","Abrir facsímil")</f>
        <v>Abrir facsímil</v>
      </c>
      <c r="K5051" s="15" t="s">
        <v>22</v>
      </c>
    </row>
    <row r="5052" spans="1:11" ht="42" customHeight="1">
      <c r="A5052" s="4" t="s">
        <v>12117</v>
      </c>
      <c r="B5052" s="5" t="s">
        <v>12117</v>
      </c>
      <c r="C5052" s="5" t="s">
        <v>27</v>
      </c>
      <c r="D5052" s="5" t="s">
        <v>28</v>
      </c>
      <c r="E5052" s="5" t="s">
        <v>484</v>
      </c>
      <c r="F5052" s="9">
        <v>53</v>
      </c>
      <c r="G5052" s="9">
        <v>585</v>
      </c>
      <c r="H5052" s="5" t="s">
        <v>20</v>
      </c>
      <c r="I5052" s="5" t="s">
        <v>12118</v>
      </c>
      <c r="J5052" s="12" t="str">
        <f>HYPERLINK("https://www.boe.es/gazeta/dias/1804/07/03/pdfs/GMD-1804-53.pdf#page=3","Abrir facsímil")</f>
        <v>Abrir facsímil</v>
      </c>
      <c r="K5052" s="15" t="s">
        <v>22</v>
      </c>
    </row>
    <row r="5053" spans="1:11" ht="42" customHeight="1">
      <c r="A5053" s="4" t="s">
        <v>12119</v>
      </c>
      <c r="B5053" s="5" t="s">
        <v>12120</v>
      </c>
      <c r="C5053" s="5" t="s">
        <v>27</v>
      </c>
      <c r="D5053" s="5" t="s">
        <v>28</v>
      </c>
      <c r="E5053" s="5" t="s">
        <v>704</v>
      </c>
      <c r="F5053" s="9">
        <v>36</v>
      </c>
      <c r="G5053" s="9">
        <v>399</v>
      </c>
      <c r="H5053" s="5" t="s">
        <v>20</v>
      </c>
      <c r="I5053" s="5" t="s">
        <v>12121</v>
      </c>
      <c r="J5053" s="12" t="str">
        <f>HYPERLINK("https://www.boe.es/gazeta/dias/1804/05/04/pdfs/GMD-1804-36.pdf#page=9","Abrir facsímil")</f>
        <v>Abrir facsímil</v>
      </c>
      <c r="K5053" s="15" t="s">
        <v>22</v>
      </c>
    </row>
    <row r="5054" spans="1:11" ht="42" customHeight="1">
      <c r="A5054" s="4" t="s">
        <v>12119</v>
      </c>
      <c r="B5054" s="5" t="s">
        <v>12120</v>
      </c>
      <c r="C5054" s="5" t="s">
        <v>27</v>
      </c>
      <c r="D5054" s="5" t="s">
        <v>28</v>
      </c>
      <c r="E5054" s="5" t="s">
        <v>81</v>
      </c>
      <c r="F5054" s="9">
        <v>98</v>
      </c>
      <c r="G5054" s="9">
        <v>1089</v>
      </c>
      <c r="H5054" s="5" t="s">
        <v>20</v>
      </c>
      <c r="I5054" s="5" t="s">
        <v>12122</v>
      </c>
      <c r="J5054" s="12" t="str">
        <f>HYPERLINK("https://www.boe.es/gazeta/dias/1804/12/07/pdfs/GMD-1804-98.pdf#page=5","Abrir facsímil")</f>
        <v>Abrir facsímil</v>
      </c>
      <c r="K5054" s="15" t="s">
        <v>22</v>
      </c>
    </row>
    <row r="5055" spans="1:11" ht="42" customHeight="1">
      <c r="A5055" s="4" t="s">
        <v>12123</v>
      </c>
      <c r="B5055" s="5" t="s">
        <v>12124</v>
      </c>
      <c r="C5055" s="5" t="s">
        <v>27</v>
      </c>
      <c r="D5055" s="5" t="s">
        <v>28</v>
      </c>
      <c r="E5055" s="5" t="s">
        <v>308</v>
      </c>
      <c r="F5055" s="9">
        <v>96</v>
      </c>
      <c r="G5055" s="9">
        <v>1067</v>
      </c>
      <c r="H5055" s="5" t="s">
        <v>20</v>
      </c>
      <c r="I5055" s="5" t="s">
        <v>12125</v>
      </c>
      <c r="J5055" s="12" t="str">
        <f>HYPERLINK("https://www.boe.es/gazeta/dias/1804/11/30/pdfs/GMD-1804-96.pdf#page=7","Abrir facsímil")</f>
        <v>Abrir facsímil</v>
      </c>
      <c r="K5055" s="15" t="s">
        <v>22</v>
      </c>
    </row>
    <row r="5056" spans="1:11" ht="42" customHeight="1">
      <c r="A5056" s="4" t="s">
        <v>12126</v>
      </c>
      <c r="B5056" s="5" t="s">
        <v>12126</v>
      </c>
      <c r="C5056" s="5" t="s">
        <v>17</v>
      </c>
      <c r="D5056" s="5" t="s">
        <v>18</v>
      </c>
      <c r="E5056" s="5" t="s">
        <v>41</v>
      </c>
      <c r="F5056" s="9">
        <v>24</v>
      </c>
      <c r="G5056" s="9">
        <v>274</v>
      </c>
      <c r="H5056" s="5" t="s">
        <v>20</v>
      </c>
      <c r="I5056" s="5" t="s">
        <v>12127</v>
      </c>
      <c r="J5056" s="12" t="str">
        <f>HYPERLINK("https://www.boe.es/gazeta/dias/1804/03/23/pdfs/GMD-1804-24.pdf#page=8","Abrir facsímil")</f>
        <v>Abrir facsímil</v>
      </c>
      <c r="K5056" s="15" t="s">
        <v>22</v>
      </c>
    </row>
    <row r="5057" spans="1:11" ht="42" customHeight="1">
      <c r="A5057" s="4" t="s">
        <v>12128</v>
      </c>
      <c r="B5057" s="5" t="s">
        <v>12128</v>
      </c>
      <c r="C5057" s="5" t="s">
        <v>85</v>
      </c>
      <c r="D5057" s="5" t="s">
        <v>86</v>
      </c>
      <c r="E5057" s="5" t="s">
        <v>103</v>
      </c>
      <c r="F5057" s="9">
        <v>11</v>
      </c>
      <c r="G5057" s="9">
        <v>121</v>
      </c>
      <c r="H5057" s="5" t="s">
        <v>20</v>
      </c>
      <c r="I5057" s="5" t="s">
        <v>12129</v>
      </c>
      <c r="J5057" s="12" t="str">
        <f>HYPERLINK("https://www.boe.es/gazeta/dias/1804/02/07/pdfs/GMD-1804-11.pdf#page=9","Abrir facsímil")</f>
        <v>Abrir facsímil</v>
      </c>
      <c r="K5057" s="15" t="s">
        <v>22</v>
      </c>
    </row>
    <row r="5058" spans="1:11" ht="42" customHeight="1">
      <c r="A5058" s="4" t="s">
        <v>12130</v>
      </c>
      <c r="B5058" s="5" t="s">
        <v>12131</v>
      </c>
      <c r="C5058" s="5" t="s">
        <v>27</v>
      </c>
      <c r="D5058" s="5" t="s">
        <v>28</v>
      </c>
      <c r="E5058" s="5" t="s">
        <v>91</v>
      </c>
      <c r="F5058" s="9">
        <v>72</v>
      </c>
      <c r="G5058" s="9">
        <v>806</v>
      </c>
      <c r="H5058" s="5" t="s">
        <v>20</v>
      </c>
      <c r="I5058" s="5" t="s">
        <v>12132</v>
      </c>
      <c r="J5058" s="12" t="str">
        <f>HYPERLINK("https://www.boe.es/gazeta/dias/1804/09/07/pdfs/GMD-1804-72.pdf#page=8","Abrir facsímil")</f>
        <v>Abrir facsímil</v>
      </c>
      <c r="K5058" s="15" t="s">
        <v>22</v>
      </c>
    </row>
    <row r="5059" spans="1:11" ht="42" customHeight="1">
      <c r="A5059" s="4" t="s">
        <v>12133</v>
      </c>
      <c r="B5059" s="5" t="s">
        <v>12134</v>
      </c>
      <c r="C5059" s="5" t="s">
        <v>27</v>
      </c>
      <c r="D5059" s="5" t="s">
        <v>28</v>
      </c>
      <c r="E5059" s="5" t="s">
        <v>484</v>
      </c>
      <c r="F5059" s="9">
        <v>53</v>
      </c>
      <c r="G5059" s="9">
        <v>591</v>
      </c>
      <c r="H5059" s="5" t="s">
        <v>20</v>
      </c>
      <c r="I5059" s="5" t="s">
        <v>12135</v>
      </c>
      <c r="J5059" s="12" t="str">
        <f>HYPERLINK("https://www.boe.es/gazeta/dias/1804/07/03/pdfs/GMD-1804-53.pdf#page=9","Abrir facsímil")</f>
        <v>Abrir facsímil</v>
      </c>
      <c r="K5059" s="15" t="s">
        <v>22</v>
      </c>
    </row>
    <row r="5060" spans="1:11" ht="42" customHeight="1">
      <c r="A5060" s="4" t="s">
        <v>12136</v>
      </c>
      <c r="B5060" s="5" t="s">
        <v>12137</v>
      </c>
      <c r="C5060" s="5" t="s">
        <v>17</v>
      </c>
      <c r="D5060" s="5" t="s">
        <v>18</v>
      </c>
      <c r="E5060" s="5" t="s">
        <v>272</v>
      </c>
      <c r="F5060" s="9">
        <v>30</v>
      </c>
      <c r="G5060" s="9">
        <v>330</v>
      </c>
      <c r="H5060" s="5" t="s">
        <v>20</v>
      </c>
      <c r="I5060" s="5" t="s">
        <v>12138</v>
      </c>
      <c r="J5060" s="12" t="str">
        <f>HYPERLINK("https://www.boe.es/gazeta/dias/1804/04/13/pdfs/GMD-1804-30.pdf#page=8","Abrir facsímil")</f>
        <v>Abrir facsímil</v>
      </c>
      <c r="K5060" s="15" t="s">
        <v>22</v>
      </c>
    </row>
    <row r="5061" spans="1:11" ht="42" customHeight="1">
      <c r="A5061" s="4" t="s">
        <v>12139</v>
      </c>
      <c r="B5061" s="5" t="s">
        <v>12140</v>
      </c>
      <c r="C5061" s="5" t="s">
        <v>27</v>
      </c>
      <c r="D5061" s="5" t="s">
        <v>28</v>
      </c>
      <c r="E5061" s="5" t="s">
        <v>37</v>
      </c>
      <c r="F5061" s="9">
        <v>29</v>
      </c>
      <c r="G5061" s="9">
        <v>319</v>
      </c>
      <c r="H5061" s="5" t="s">
        <v>20</v>
      </c>
      <c r="I5061" s="5" t="s">
        <v>12141</v>
      </c>
      <c r="J5061" s="12" t="str">
        <f>HYPERLINK("https://www.boe.es/gazeta/dias/1804/04/10/pdfs/GMD-1804-29.pdf#page=9","Abrir facsímil")</f>
        <v>Abrir facsímil</v>
      </c>
      <c r="K5061" s="15" t="s">
        <v>22</v>
      </c>
    </row>
    <row r="5062" spans="1:11" ht="42" customHeight="1">
      <c r="A5062" s="4" t="s">
        <v>12142</v>
      </c>
      <c r="B5062" s="5" t="s">
        <v>12143</v>
      </c>
      <c r="C5062" s="5" t="s">
        <v>65</v>
      </c>
      <c r="D5062" s="5" t="s">
        <v>66</v>
      </c>
      <c r="E5062" s="5" t="s">
        <v>800</v>
      </c>
      <c r="F5062" s="9">
        <v>45</v>
      </c>
      <c r="G5062" s="9">
        <v>501</v>
      </c>
      <c r="H5062" s="5" t="s">
        <v>20</v>
      </c>
      <c r="I5062" s="5" t="s">
        <v>12144</v>
      </c>
      <c r="J5062" s="12" t="str">
        <f>HYPERLINK("https://www.boe.es/gazeta/dias/1804/06/05/pdfs/GMD-1804-45.pdf#page=11","Abrir facsímil")</f>
        <v>Abrir facsímil</v>
      </c>
      <c r="K5062" s="15" t="s">
        <v>22</v>
      </c>
    </row>
    <row r="5063" spans="1:11" ht="42" customHeight="1">
      <c r="A5063" s="4" t="s">
        <v>12145</v>
      </c>
      <c r="B5063" s="5" t="s">
        <v>12146</v>
      </c>
      <c r="C5063" s="5" t="s">
        <v>27</v>
      </c>
      <c r="D5063" s="5" t="s">
        <v>28</v>
      </c>
      <c r="E5063" s="5" t="s">
        <v>251</v>
      </c>
      <c r="F5063" s="9">
        <v>79</v>
      </c>
      <c r="G5063" s="9">
        <v>876</v>
      </c>
      <c r="H5063" s="5" t="s">
        <v>20</v>
      </c>
      <c r="I5063" s="5" t="s">
        <v>12147</v>
      </c>
      <c r="J5063" s="12" t="str">
        <f>HYPERLINK("https://www.boe.es/gazeta/dias/1804/10/02/pdfs/GMD-1804-79.pdf#page=6","Abrir facsímil")</f>
        <v>Abrir facsímil</v>
      </c>
      <c r="K5063" s="15" t="s">
        <v>22</v>
      </c>
    </row>
    <row r="5064" spans="1:11" ht="42" customHeight="1">
      <c r="A5064" s="4" t="s">
        <v>12148</v>
      </c>
      <c r="B5064" s="5" t="s">
        <v>12149</v>
      </c>
      <c r="C5064" s="5" t="s">
        <v>57</v>
      </c>
      <c r="D5064" s="5" t="s">
        <v>58</v>
      </c>
      <c r="E5064" s="5" t="s">
        <v>308</v>
      </c>
      <c r="F5064" s="9">
        <v>96</v>
      </c>
      <c r="G5064" s="9">
        <v>1064</v>
      </c>
      <c r="H5064" s="5" t="s">
        <v>20</v>
      </c>
      <c r="I5064" s="5" t="s">
        <v>12150</v>
      </c>
      <c r="J5064" s="12" t="str">
        <f>HYPERLINK("https://www.boe.es/gazeta/dias/1804/11/30/pdfs/GMD-1804-96.pdf#page=4","Abrir facsímil")</f>
        <v>Abrir facsímil</v>
      </c>
      <c r="K5064" s="15" t="s">
        <v>22</v>
      </c>
    </row>
    <row r="5065" spans="1:11" ht="42" customHeight="1">
      <c r="A5065" s="4" t="s">
        <v>12151</v>
      </c>
      <c r="B5065" s="5" t="s">
        <v>12151</v>
      </c>
      <c r="C5065" s="5" t="s">
        <v>17</v>
      </c>
      <c r="D5065" s="5" t="s">
        <v>18</v>
      </c>
      <c r="E5065" s="5" t="s">
        <v>143</v>
      </c>
      <c r="F5065" s="9">
        <v>87</v>
      </c>
      <c r="G5065" s="9">
        <v>965</v>
      </c>
      <c r="H5065" s="5" t="s">
        <v>20</v>
      </c>
      <c r="I5065" s="5" t="s">
        <v>12152</v>
      </c>
      <c r="J5065" s="12" t="str">
        <f>HYPERLINK("https://www.boe.es/gazeta/dias/1804/10/30/pdfs/GMD-1804-87.pdf#page=9","Abrir facsímil")</f>
        <v>Abrir facsímil</v>
      </c>
      <c r="K5065" s="15" t="s">
        <v>22</v>
      </c>
    </row>
    <row r="5066" spans="1:11" ht="42" customHeight="1">
      <c r="A5066" s="4" t="s">
        <v>12153</v>
      </c>
      <c r="B5066" s="5" t="s">
        <v>12154</v>
      </c>
      <c r="C5066" s="5" t="s">
        <v>27</v>
      </c>
      <c r="D5066" s="5" t="s">
        <v>28</v>
      </c>
      <c r="E5066" s="5" t="s">
        <v>704</v>
      </c>
      <c r="F5066" s="9">
        <v>36</v>
      </c>
      <c r="G5066" s="9">
        <v>399</v>
      </c>
      <c r="H5066" s="5" t="s">
        <v>20</v>
      </c>
      <c r="I5066" s="5" t="s">
        <v>12155</v>
      </c>
      <c r="J5066" s="12" t="str">
        <f>HYPERLINK("https://www.boe.es/gazeta/dias/1804/05/04/pdfs/GMD-1804-36.pdf#page=9","Abrir facsímil")</f>
        <v>Abrir facsímil</v>
      </c>
      <c r="K5066" s="15" t="s">
        <v>22</v>
      </c>
    </row>
    <row r="5067" spans="1:11" ht="42" customHeight="1">
      <c r="A5067" s="4" t="s">
        <v>12156</v>
      </c>
      <c r="B5067" s="5" t="s">
        <v>12157</v>
      </c>
      <c r="C5067" s="5" t="s">
        <v>27</v>
      </c>
      <c r="D5067" s="5" t="s">
        <v>28</v>
      </c>
      <c r="E5067" s="5" t="s">
        <v>37</v>
      </c>
      <c r="F5067" s="9">
        <v>29</v>
      </c>
      <c r="G5067" s="9">
        <v>320</v>
      </c>
      <c r="H5067" s="5" t="s">
        <v>20</v>
      </c>
      <c r="I5067" s="5" t="s">
        <v>12158</v>
      </c>
      <c r="J5067" s="12" t="str">
        <f>HYPERLINK("https://www.boe.es/gazeta/dias/1804/04/10/pdfs/GMD-1804-29.pdf#page=10","Abrir facsímil")</f>
        <v>Abrir facsímil</v>
      </c>
      <c r="K5067" s="15" t="s">
        <v>22</v>
      </c>
    </row>
    <row r="5068" spans="1:11" ht="42" customHeight="1">
      <c r="A5068" s="4" t="s">
        <v>12159</v>
      </c>
      <c r="B5068" s="5" t="s">
        <v>12160</v>
      </c>
      <c r="C5068" s="5" t="s">
        <v>57</v>
      </c>
      <c r="D5068" s="5" t="s">
        <v>58</v>
      </c>
      <c r="E5068" s="5" t="s">
        <v>234</v>
      </c>
      <c r="F5068" s="9">
        <v>86</v>
      </c>
      <c r="G5068" s="9">
        <v>943</v>
      </c>
      <c r="H5068" s="5" t="s">
        <v>20</v>
      </c>
      <c r="I5068" s="5" t="s">
        <v>12161</v>
      </c>
      <c r="J5068" s="12" t="str">
        <f>HYPERLINK("https://www.boe.es/gazeta/dias/1804/10/26/pdfs/GMD-1804-86.pdf#page=1","Abrir facsímil")</f>
        <v>Abrir facsímil</v>
      </c>
      <c r="K5068" s="15" t="s">
        <v>22</v>
      </c>
    </row>
    <row r="5069" spans="1:11" ht="42" customHeight="1">
      <c r="A5069" s="4" t="s">
        <v>12162</v>
      </c>
      <c r="B5069" s="5" t="s">
        <v>12163</v>
      </c>
      <c r="C5069" s="5" t="s">
        <v>57</v>
      </c>
      <c r="D5069" s="5" t="s">
        <v>58</v>
      </c>
      <c r="E5069" s="5" t="s">
        <v>151</v>
      </c>
      <c r="F5069" s="9">
        <v>13</v>
      </c>
      <c r="G5069" s="9">
        <v>137</v>
      </c>
      <c r="H5069" s="5" t="s">
        <v>20</v>
      </c>
      <c r="I5069" s="5" t="s">
        <v>12164</v>
      </c>
      <c r="J5069" s="12" t="str">
        <f>HYPERLINK("https://www.boe.es/gazeta/dias/1804/02/14/pdfs/GMD-1804-13.pdf#page=1","Abrir facsímil")</f>
        <v>Abrir facsímil</v>
      </c>
      <c r="K5069" s="15" t="s">
        <v>22</v>
      </c>
    </row>
    <row r="5070" spans="1:11" ht="42" customHeight="1">
      <c r="A5070" s="4" t="s">
        <v>12165</v>
      </c>
      <c r="B5070" s="5" t="s">
        <v>12165</v>
      </c>
      <c r="C5070" s="5" t="s">
        <v>17</v>
      </c>
      <c r="D5070" s="5" t="s">
        <v>18</v>
      </c>
      <c r="E5070" s="5" t="s">
        <v>143</v>
      </c>
      <c r="F5070" s="9">
        <v>87</v>
      </c>
      <c r="G5070" s="9">
        <v>965</v>
      </c>
      <c r="H5070" s="5" t="s">
        <v>20</v>
      </c>
      <c r="I5070" s="5" t="s">
        <v>12166</v>
      </c>
      <c r="J5070" s="12" t="str">
        <f>HYPERLINK("https://www.boe.es/gazeta/dias/1804/10/30/pdfs/GMD-1804-87.pdf#page=9","Abrir facsímil")</f>
        <v>Abrir facsímil</v>
      </c>
      <c r="K5070" s="15" t="s">
        <v>22</v>
      </c>
    </row>
    <row r="5071" spans="1:11" ht="42" customHeight="1">
      <c r="A5071" s="4" t="s">
        <v>12167</v>
      </c>
      <c r="B5071" s="5" t="s">
        <v>12168</v>
      </c>
      <c r="C5071" s="5" t="s">
        <v>65</v>
      </c>
      <c r="D5071" s="5" t="s">
        <v>66</v>
      </c>
      <c r="E5071" s="5" t="s">
        <v>678</v>
      </c>
      <c r="F5071" s="9">
        <v>104</v>
      </c>
      <c r="G5071" s="9">
        <v>1162</v>
      </c>
      <c r="H5071" s="5" t="s">
        <v>20</v>
      </c>
      <c r="I5071" s="5" t="s">
        <v>12169</v>
      </c>
      <c r="J5071" s="12" t="str">
        <f>HYPERLINK("https://www.boe.es/gazeta/dias/1804/12/28/pdfs/GMD-1804-104.pdf#page=10","Abrir facsímil")</f>
        <v>Abrir facsímil</v>
      </c>
      <c r="K5071" s="15" t="s">
        <v>22</v>
      </c>
    </row>
    <row r="5072" spans="1:11" ht="42" customHeight="1">
      <c r="A5072" s="4" t="s">
        <v>12170</v>
      </c>
      <c r="B5072" s="5" t="s">
        <v>12170</v>
      </c>
      <c r="C5072" s="5" t="s">
        <v>57</v>
      </c>
      <c r="D5072" s="5" t="s">
        <v>58</v>
      </c>
      <c r="E5072" s="5" t="s">
        <v>75</v>
      </c>
      <c r="F5072" s="9">
        <v>16</v>
      </c>
      <c r="G5072" s="9">
        <v>165</v>
      </c>
      <c r="H5072" s="5" t="s">
        <v>20</v>
      </c>
      <c r="I5072" s="5" t="s">
        <v>12171</v>
      </c>
      <c r="J5072" s="12" t="str">
        <f>HYPERLINK("https://www.boe.es/gazeta/dias/1804/02/24/pdfs/GMD-1804-16.pdf#page=1","Abrir facsímil")</f>
        <v>Abrir facsímil</v>
      </c>
      <c r="K5072" s="15" t="s">
        <v>22</v>
      </c>
    </row>
    <row r="5073" spans="1:11" ht="42" customHeight="1">
      <c r="A5073" s="4" t="s">
        <v>12172</v>
      </c>
      <c r="B5073" s="5" t="s">
        <v>12173</v>
      </c>
      <c r="C5073" s="5" t="s">
        <v>85</v>
      </c>
      <c r="D5073" s="5" t="s">
        <v>86</v>
      </c>
      <c r="E5073" s="5" t="s">
        <v>538</v>
      </c>
      <c r="F5073" s="9">
        <v>27</v>
      </c>
      <c r="G5073" s="9">
        <v>302</v>
      </c>
      <c r="H5073" s="5" t="s">
        <v>20</v>
      </c>
      <c r="I5073" s="5" t="s">
        <v>12174</v>
      </c>
      <c r="J5073" s="12" t="str">
        <f>HYPERLINK("https://www.boe.es/gazeta/dias/1804/04/03/pdfs/GMD-1804-27.pdf#page=8","Abrir facsímil")</f>
        <v>Abrir facsímil</v>
      </c>
      <c r="K5073" s="15" t="s">
        <v>22</v>
      </c>
    </row>
    <row r="5074" spans="1:11" ht="42" customHeight="1">
      <c r="A5074" s="4" t="s">
        <v>12175</v>
      </c>
      <c r="B5074" s="5" t="s">
        <v>12176</v>
      </c>
      <c r="C5074" s="5" t="s">
        <v>17</v>
      </c>
      <c r="D5074" s="5" t="s">
        <v>18</v>
      </c>
      <c r="E5074" s="5" t="s">
        <v>71</v>
      </c>
      <c r="F5074" s="9">
        <v>99</v>
      </c>
      <c r="G5074" s="9">
        <v>1106</v>
      </c>
      <c r="H5074" s="5" t="s">
        <v>20</v>
      </c>
      <c r="I5074" s="5" t="s">
        <v>12177</v>
      </c>
      <c r="J5074" s="12" t="str">
        <f>HYPERLINK("https://www.boe.es/gazeta/dias/1804/12/11/pdfs/GMD-1804-99.pdf#page=6","Abrir facsímil")</f>
        <v>Abrir facsímil</v>
      </c>
      <c r="K5074" s="15" t="s">
        <v>22</v>
      </c>
    </row>
    <row r="5075" spans="1:11" ht="42" customHeight="1">
      <c r="A5075" s="4" t="s">
        <v>12178</v>
      </c>
      <c r="B5075" s="5" t="s">
        <v>12178</v>
      </c>
      <c r="C5075" s="5" t="s">
        <v>65</v>
      </c>
      <c r="D5075" s="5" t="s">
        <v>66</v>
      </c>
      <c r="E5075" s="5" t="s">
        <v>111</v>
      </c>
      <c r="F5075" s="9">
        <v>40</v>
      </c>
      <c r="G5075" s="9">
        <v>447</v>
      </c>
      <c r="H5075" s="5" t="s">
        <v>20</v>
      </c>
      <c r="I5075" s="5" t="s">
        <v>12179</v>
      </c>
      <c r="J5075" s="12" t="str">
        <f>HYPERLINK("https://www.boe.es/gazeta/dias/1804/05/18/pdfs/GMD-1804-40.pdf#page=9","Abrir facsímil")</f>
        <v>Abrir facsímil</v>
      </c>
      <c r="K5075" s="15" t="s">
        <v>22</v>
      </c>
    </row>
    <row r="5076" spans="1:11" ht="42" customHeight="1">
      <c r="A5076" s="4" t="s">
        <v>12180</v>
      </c>
      <c r="B5076" s="5" t="s">
        <v>12181</v>
      </c>
      <c r="C5076" s="5" t="s">
        <v>262</v>
      </c>
      <c r="D5076" s="5" t="s">
        <v>263</v>
      </c>
      <c r="E5076" s="5" t="s">
        <v>666</v>
      </c>
      <c r="F5076" s="9">
        <v>57</v>
      </c>
      <c r="G5076" s="9">
        <v>636</v>
      </c>
      <c r="H5076" s="5" t="s">
        <v>20</v>
      </c>
      <c r="I5076" s="5" t="s">
        <v>12182</v>
      </c>
      <c r="J5076" s="12" t="str">
        <f>HYPERLINK("https://www.boe.es/gazeta/dias/1804/07/17/pdfs/GMD-C-1804-57.pdf#page=2","Abrir facsímil")</f>
        <v>Abrir facsímil</v>
      </c>
      <c r="K5076" s="15" t="s">
        <v>22</v>
      </c>
    </row>
    <row r="5077" spans="1:11" ht="42" customHeight="1">
      <c r="A5077" s="4" t="s">
        <v>12180</v>
      </c>
      <c r="B5077" s="5" t="s">
        <v>12181</v>
      </c>
      <c r="C5077" s="5" t="s">
        <v>17</v>
      </c>
      <c r="D5077" s="5" t="s">
        <v>18</v>
      </c>
      <c r="E5077" s="5" t="s">
        <v>155</v>
      </c>
      <c r="F5077" s="9">
        <v>92</v>
      </c>
      <c r="G5077" s="9">
        <v>1022</v>
      </c>
      <c r="H5077" s="5" t="s">
        <v>20</v>
      </c>
      <c r="I5077" s="5" t="s">
        <v>12183</v>
      </c>
      <c r="J5077" s="12" t="str">
        <f>HYPERLINK("https://www.boe.es/gazeta/dias/1804/11/16/pdfs/GMD-1804-92.pdf#page=10","Abrir facsímil")</f>
        <v>Abrir facsímil</v>
      </c>
      <c r="K5077" s="15" t="s">
        <v>22</v>
      </c>
    </row>
    <row r="5078" spans="1:11" ht="42" customHeight="1">
      <c r="A5078" s="4" t="s">
        <v>12184</v>
      </c>
      <c r="B5078" s="5" t="s">
        <v>12184</v>
      </c>
      <c r="C5078" s="5" t="s">
        <v>65</v>
      </c>
      <c r="D5078" s="5" t="s">
        <v>66</v>
      </c>
      <c r="E5078" s="5" t="s">
        <v>736</v>
      </c>
      <c r="F5078" s="9">
        <v>83</v>
      </c>
      <c r="G5078" s="9">
        <v>919</v>
      </c>
      <c r="H5078" s="5" t="s">
        <v>20</v>
      </c>
      <c r="I5078" s="5" t="s">
        <v>12185</v>
      </c>
      <c r="J5078" s="12" t="str">
        <f>HYPERLINK("https://www.boe.es/gazeta/dias/1804/10/16/pdfs/GMD-1804-83.pdf#page=9","Abrir facsímil")</f>
        <v>Abrir facsímil</v>
      </c>
      <c r="K5078" s="15" t="s">
        <v>22</v>
      </c>
    </row>
    <row r="5079" spans="1:11" ht="42" customHeight="1">
      <c r="A5079" s="4" t="s">
        <v>12186</v>
      </c>
      <c r="B5079" s="5" t="s">
        <v>12186</v>
      </c>
      <c r="C5079" s="5" t="s">
        <v>27</v>
      </c>
      <c r="D5079" s="5" t="s">
        <v>28</v>
      </c>
      <c r="E5079" s="5" t="s">
        <v>666</v>
      </c>
      <c r="F5079" s="9">
        <v>57</v>
      </c>
      <c r="G5079" s="9">
        <v>633</v>
      </c>
      <c r="H5079" s="5" t="s">
        <v>20</v>
      </c>
      <c r="I5079" s="5" t="s">
        <v>12187</v>
      </c>
      <c r="J5079" s="12" t="str">
        <f>HYPERLINK("https://www.boe.es/gazeta/dias/1804/07/17/pdfs/GMD-1804-57.pdf#page=11","Abrir facsímil")</f>
        <v>Abrir facsímil</v>
      </c>
      <c r="K5079" s="15" t="s">
        <v>22</v>
      </c>
    </row>
    <row r="5080" spans="1:11" ht="42" customHeight="1">
      <c r="A5080" s="4" t="s">
        <v>12188</v>
      </c>
      <c r="B5080" s="5" t="s">
        <v>12189</v>
      </c>
      <c r="C5080" s="5" t="s">
        <v>27</v>
      </c>
      <c r="D5080" s="5" t="s">
        <v>28</v>
      </c>
      <c r="E5080" s="5" t="s">
        <v>178</v>
      </c>
      <c r="F5080" s="9">
        <v>20</v>
      </c>
      <c r="G5080" s="9">
        <v>220</v>
      </c>
      <c r="H5080" s="5" t="s">
        <v>20</v>
      </c>
      <c r="I5080" s="5" t="s">
        <v>12190</v>
      </c>
      <c r="J5080" s="12" t="str">
        <f>HYPERLINK("https://www.boe.es/gazeta/dias/1804/03/09/pdfs/GMD-1804-20.pdf#page=8","Abrir facsímil")</f>
        <v>Abrir facsímil</v>
      </c>
      <c r="K5080" s="15" t="s">
        <v>22</v>
      </c>
    </row>
    <row r="5081" spans="1:11" ht="42" customHeight="1">
      <c r="A5081" s="4" t="s">
        <v>12191</v>
      </c>
      <c r="B5081" s="5" t="s">
        <v>12192</v>
      </c>
      <c r="C5081" s="5" t="s">
        <v>17</v>
      </c>
      <c r="D5081" s="5" t="s">
        <v>18</v>
      </c>
      <c r="E5081" s="5" t="s">
        <v>71</v>
      </c>
      <c r="F5081" s="9">
        <v>99</v>
      </c>
      <c r="G5081" s="9">
        <v>1106</v>
      </c>
      <c r="H5081" s="5" t="s">
        <v>20</v>
      </c>
      <c r="I5081" s="5" t="s">
        <v>12193</v>
      </c>
      <c r="J5081" s="12" t="str">
        <f>HYPERLINK("https://www.boe.es/gazeta/dias/1804/12/11/pdfs/GMD-1804-99.pdf#page=6","Abrir facsímil")</f>
        <v>Abrir facsímil</v>
      </c>
      <c r="K5081" s="15" t="s">
        <v>22</v>
      </c>
    </row>
    <row r="5082" spans="1:11" ht="42" customHeight="1">
      <c r="A5082" s="4" t="s">
        <v>12194</v>
      </c>
      <c r="B5082" s="5" t="s">
        <v>12195</v>
      </c>
      <c r="C5082" s="5" t="s">
        <v>27</v>
      </c>
      <c r="D5082" s="5" t="s">
        <v>28</v>
      </c>
      <c r="E5082" s="5" t="s">
        <v>576</v>
      </c>
      <c r="F5082" s="9">
        <v>85</v>
      </c>
      <c r="G5082" s="9">
        <v>939</v>
      </c>
      <c r="H5082" s="5" t="s">
        <v>20</v>
      </c>
      <c r="I5082" s="5" t="s">
        <v>12196</v>
      </c>
      <c r="J5082" s="12" t="str">
        <f>HYPERLINK("https://www.boe.es/gazeta/dias/1804/10/23/pdfs/GMD-1804-85.pdf#page=9","Abrir facsímil")</f>
        <v>Abrir facsímil</v>
      </c>
      <c r="K5082" s="15" t="s">
        <v>22</v>
      </c>
    </row>
    <row r="5083" spans="1:11" ht="42" customHeight="1">
      <c r="A5083" s="4" t="s">
        <v>12197</v>
      </c>
      <c r="B5083" s="5" t="s">
        <v>12197</v>
      </c>
      <c r="C5083" s="5" t="s">
        <v>57</v>
      </c>
      <c r="D5083" s="5" t="s">
        <v>58</v>
      </c>
      <c r="E5083" s="5" t="s">
        <v>182</v>
      </c>
      <c r="F5083" s="9">
        <v>21</v>
      </c>
      <c r="G5083" s="9">
        <v>227</v>
      </c>
      <c r="H5083" s="5" t="s">
        <v>20</v>
      </c>
      <c r="I5083" s="5" t="s">
        <v>12198</v>
      </c>
      <c r="J5083" s="12" t="str">
        <f>HYPERLINK("https://www.boe.es/gazeta/dias/1804/03/13/pdfs/GMD-1804-21.pdf#page=3","Abrir facsímil")</f>
        <v>Abrir facsímil</v>
      </c>
      <c r="K5083" s="15" t="s">
        <v>22</v>
      </c>
    </row>
    <row r="5084" spans="1:11" ht="42" customHeight="1">
      <c r="A5084" s="4" t="s">
        <v>12199</v>
      </c>
      <c r="B5084" s="5" t="s">
        <v>12200</v>
      </c>
      <c r="C5084" s="5" t="s">
        <v>57</v>
      </c>
      <c r="D5084" s="5" t="s">
        <v>58</v>
      </c>
      <c r="E5084" s="5" t="s">
        <v>547</v>
      </c>
      <c r="F5084" s="9">
        <v>68</v>
      </c>
      <c r="G5084" s="9">
        <v>755</v>
      </c>
      <c r="H5084" s="5" t="s">
        <v>20</v>
      </c>
      <c r="I5084" s="5" t="s">
        <v>12201</v>
      </c>
      <c r="J5084" s="12" t="str">
        <f>HYPERLINK("https://www.boe.es/gazeta/dias/1804/08/24/pdfs/GMD-1804-68.pdf#page=1","Abrir facsímil")</f>
        <v>Abrir facsímil</v>
      </c>
      <c r="K5084" s="15" t="s">
        <v>22</v>
      </c>
    </row>
    <row r="5085" spans="1:11" ht="42" customHeight="1">
      <c r="A5085" s="4" t="s">
        <v>12202</v>
      </c>
      <c r="B5085" s="5" t="s">
        <v>12203</v>
      </c>
      <c r="C5085" s="5" t="s">
        <v>27</v>
      </c>
      <c r="D5085" s="5" t="s">
        <v>28</v>
      </c>
      <c r="E5085" s="5" t="s">
        <v>37</v>
      </c>
      <c r="F5085" s="9">
        <v>29</v>
      </c>
      <c r="G5085" s="9">
        <v>319</v>
      </c>
      <c r="H5085" s="5" t="s">
        <v>20</v>
      </c>
      <c r="I5085" s="5" t="s">
        <v>12204</v>
      </c>
      <c r="J5085" s="12" t="str">
        <f>HYPERLINK("https://www.boe.es/gazeta/dias/1804/04/10/pdfs/GMD-1804-29.pdf#page=9","Abrir facsímil")</f>
        <v>Abrir facsímil</v>
      </c>
      <c r="K5085" s="15" t="s">
        <v>22</v>
      </c>
    </row>
    <row r="5086" spans="1:11" ht="42" customHeight="1">
      <c r="A5086" s="4" t="s">
        <v>12205</v>
      </c>
      <c r="B5086" s="5" t="s">
        <v>12206</v>
      </c>
      <c r="C5086" s="5" t="s">
        <v>27</v>
      </c>
      <c r="D5086" s="5" t="s">
        <v>28</v>
      </c>
      <c r="E5086" s="5" t="s">
        <v>136</v>
      </c>
      <c r="F5086" s="9">
        <v>23</v>
      </c>
      <c r="G5086" s="9">
        <v>261</v>
      </c>
      <c r="H5086" s="5" t="s">
        <v>20</v>
      </c>
      <c r="I5086" s="5" t="s">
        <v>12207</v>
      </c>
      <c r="J5086" s="12" t="str">
        <f>HYPERLINK("https://www.boe.es/gazeta/dias/1804/03/20/pdfs/GMD-1804-23.pdf#page=7","Abrir facsímil")</f>
        <v>Abrir facsímil</v>
      </c>
      <c r="K5086" s="15" t="s">
        <v>22</v>
      </c>
    </row>
    <row r="5087" spans="1:11" ht="42" customHeight="1">
      <c r="A5087" s="4" t="s">
        <v>12208</v>
      </c>
      <c r="B5087" s="5" t="s">
        <v>12209</v>
      </c>
      <c r="C5087" s="5" t="s">
        <v>27</v>
      </c>
      <c r="D5087" s="5" t="s">
        <v>28</v>
      </c>
      <c r="E5087" s="5" t="s">
        <v>37</v>
      </c>
      <c r="F5087" s="9">
        <v>29</v>
      </c>
      <c r="G5087" s="9">
        <v>319</v>
      </c>
      <c r="H5087" s="5" t="s">
        <v>20</v>
      </c>
      <c r="I5087" s="5" t="s">
        <v>12210</v>
      </c>
      <c r="J5087" s="12" t="str">
        <f>HYPERLINK("https://www.boe.es/gazeta/dias/1804/04/10/pdfs/GMD-1804-29.pdf#page=9","Abrir facsímil")</f>
        <v>Abrir facsímil</v>
      </c>
      <c r="K5087" s="15" t="s">
        <v>22</v>
      </c>
    </row>
    <row r="5088" spans="1:11" ht="42" customHeight="1">
      <c r="A5088" s="4" t="s">
        <v>12211</v>
      </c>
      <c r="B5088" s="5" t="s">
        <v>12212</v>
      </c>
      <c r="C5088" s="5" t="s">
        <v>65</v>
      </c>
      <c r="D5088" s="5" t="s">
        <v>66</v>
      </c>
      <c r="E5088" s="5" t="s">
        <v>109</v>
      </c>
      <c r="F5088" s="9">
        <v>35</v>
      </c>
      <c r="G5088" s="9">
        <v>387</v>
      </c>
      <c r="H5088" s="5" t="s">
        <v>20</v>
      </c>
      <c r="I5088" s="5" t="s">
        <v>12213</v>
      </c>
      <c r="J5088" s="12" t="str">
        <f>HYPERLINK("https://www.boe.es/gazeta/dias/1804/05/01/pdfs/GMD-1804-35.pdf#page=9","Abrir facsímil")</f>
        <v>Abrir facsímil</v>
      </c>
      <c r="K5088" s="15" t="s">
        <v>22</v>
      </c>
    </row>
    <row r="5089" spans="1:11" ht="42" customHeight="1">
      <c r="A5089" s="4" t="s">
        <v>12214</v>
      </c>
      <c r="B5089" s="5" t="s">
        <v>12215</v>
      </c>
      <c r="C5089" s="5" t="s">
        <v>17</v>
      </c>
      <c r="D5089" s="5" t="s">
        <v>18</v>
      </c>
      <c r="E5089" s="5" t="s">
        <v>71</v>
      </c>
      <c r="F5089" s="9">
        <v>99</v>
      </c>
      <c r="G5089" s="9">
        <v>1107</v>
      </c>
      <c r="H5089" s="5" t="s">
        <v>20</v>
      </c>
      <c r="I5089" s="5" t="s">
        <v>12216</v>
      </c>
      <c r="J5089" s="12" t="str">
        <f>HYPERLINK("https://www.boe.es/gazeta/dias/1804/12/11/pdfs/GMD-1804-99.pdf#page=7","Abrir facsímil")</f>
        <v>Abrir facsímil</v>
      </c>
      <c r="K5089" s="15" t="s">
        <v>22</v>
      </c>
    </row>
    <row r="5090" spans="1:11" ht="42" customHeight="1">
      <c r="A5090" s="4" t="s">
        <v>12217</v>
      </c>
      <c r="B5090" s="5" t="s">
        <v>12218</v>
      </c>
      <c r="C5090" s="5" t="s">
        <v>65</v>
      </c>
      <c r="D5090" s="5" t="s">
        <v>66</v>
      </c>
      <c r="E5090" s="5" t="s">
        <v>111</v>
      </c>
      <c r="F5090" s="9">
        <v>40</v>
      </c>
      <c r="G5090" s="9">
        <v>447</v>
      </c>
      <c r="H5090" s="5" t="s">
        <v>20</v>
      </c>
      <c r="I5090" s="5" t="s">
        <v>12219</v>
      </c>
      <c r="J5090" s="12" t="str">
        <f>HYPERLINK("https://www.boe.es/gazeta/dias/1804/05/18/pdfs/GMD-1804-40.pdf#page=9","Abrir facsímil")</f>
        <v>Abrir facsímil</v>
      </c>
      <c r="K5090" s="15" t="s">
        <v>22</v>
      </c>
    </row>
    <row r="5091" spans="1:11" ht="42" customHeight="1">
      <c r="A5091" s="4" t="s">
        <v>12217</v>
      </c>
      <c r="B5091" s="5" t="s">
        <v>12218</v>
      </c>
      <c r="C5091" s="5" t="s">
        <v>27</v>
      </c>
      <c r="D5091" s="5" t="s">
        <v>28</v>
      </c>
      <c r="E5091" s="5" t="s">
        <v>33</v>
      </c>
      <c r="F5091" s="9">
        <v>48</v>
      </c>
      <c r="G5091" s="9">
        <v>537</v>
      </c>
      <c r="H5091" s="5" t="s">
        <v>20</v>
      </c>
      <c r="I5091" s="5" t="s">
        <v>12220</v>
      </c>
      <c r="J5091" s="12" t="str">
        <f>HYPERLINK("https://www.boe.es/gazeta/dias/1804/06/15/pdfs/GMD-1804-48.pdf#page=7","Abrir facsímil")</f>
        <v>Abrir facsímil</v>
      </c>
      <c r="K5091" s="15" t="s">
        <v>22</v>
      </c>
    </row>
    <row r="5092" spans="1:11" ht="42" customHeight="1">
      <c r="A5092" s="4" t="s">
        <v>12221</v>
      </c>
      <c r="B5092" s="5" t="s">
        <v>12222</v>
      </c>
      <c r="C5092" s="5" t="s">
        <v>17</v>
      </c>
      <c r="D5092" s="5" t="s">
        <v>18</v>
      </c>
      <c r="E5092" s="5" t="s">
        <v>37</v>
      </c>
      <c r="F5092" s="9">
        <v>29</v>
      </c>
      <c r="G5092" s="9">
        <v>319</v>
      </c>
      <c r="H5092" s="5" t="s">
        <v>20</v>
      </c>
      <c r="I5092" s="5" t="s">
        <v>12223</v>
      </c>
      <c r="J5092" s="12" t="str">
        <f>HYPERLINK("https://www.boe.es/gazeta/dias/1804/04/10/pdfs/GMD-1804-29.pdf#page=9","Abrir facsímil")</f>
        <v>Abrir facsímil</v>
      </c>
      <c r="K5092" s="15" t="s">
        <v>22</v>
      </c>
    </row>
    <row r="5093" spans="1:11" ht="42" customHeight="1">
      <c r="A5093" s="4" t="s">
        <v>12224</v>
      </c>
      <c r="B5093" s="5" t="s">
        <v>12225</v>
      </c>
      <c r="C5093" s="5" t="s">
        <v>27</v>
      </c>
      <c r="D5093" s="5" t="s">
        <v>28</v>
      </c>
      <c r="E5093" s="5" t="s">
        <v>199</v>
      </c>
      <c r="F5093" s="9">
        <v>46</v>
      </c>
      <c r="G5093" s="9">
        <v>512</v>
      </c>
      <c r="H5093" s="5" t="s">
        <v>20</v>
      </c>
      <c r="I5093" s="5" t="s">
        <v>12226</v>
      </c>
      <c r="J5093" s="12" t="str">
        <f>HYPERLINK("https://www.boe.es/gazeta/dias/1804/06/08/pdfs/GMD-1804-46.pdf#page=10","Abrir facsímil")</f>
        <v>Abrir facsímil</v>
      </c>
      <c r="K5093" s="15" t="s">
        <v>22</v>
      </c>
    </row>
    <row r="5094" spans="1:11" ht="42" customHeight="1">
      <c r="A5094" s="4" t="s">
        <v>12227</v>
      </c>
      <c r="B5094" s="5" t="s">
        <v>12228</v>
      </c>
      <c r="C5094" s="5" t="s">
        <v>65</v>
      </c>
      <c r="D5094" s="5" t="s">
        <v>66</v>
      </c>
      <c r="E5094" s="5" t="s">
        <v>178</v>
      </c>
      <c r="F5094" s="9">
        <v>20</v>
      </c>
      <c r="G5094" s="9">
        <v>220</v>
      </c>
      <c r="H5094" s="5" t="s">
        <v>20</v>
      </c>
      <c r="I5094" s="5" t="s">
        <v>12229</v>
      </c>
      <c r="J5094" s="12" t="str">
        <f>HYPERLINK("https://www.boe.es/gazeta/dias/1804/03/09/pdfs/GMD-1804-20.pdf#page=8","Abrir facsímil")</f>
        <v>Abrir facsímil</v>
      </c>
      <c r="K5094" s="15" t="s">
        <v>22</v>
      </c>
    </row>
    <row r="5095" spans="1:11" ht="42" customHeight="1">
      <c r="A5095" s="4" t="s">
        <v>12230</v>
      </c>
      <c r="B5095" s="5" t="s">
        <v>12231</v>
      </c>
      <c r="C5095" s="5" t="s">
        <v>17</v>
      </c>
      <c r="D5095" s="5" t="s">
        <v>18</v>
      </c>
      <c r="E5095" s="5" t="s">
        <v>132</v>
      </c>
      <c r="F5095" s="9">
        <v>52</v>
      </c>
      <c r="G5095" s="9">
        <v>576</v>
      </c>
      <c r="H5095" s="5" t="s">
        <v>20</v>
      </c>
      <c r="I5095" s="5" t="s">
        <v>12232</v>
      </c>
      <c r="J5095" s="12" t="str">
        <f>HYPERLINK("https://www.boe.es/gazeta/dias/1804/06/29/pdfs/GMD-1804-52.pdf#page=10","Abrir facsímil")</f>
        <v>Abrir facsímil</v>
      </c>
      <c r="K5095" s="15" t="s">
        <v>22</v>
      </c>
    </row>
    <row r="5096" spans="1:11" ht="42" customHeight="1">
      <c r="A5096" s="4" t="s">
        <v>12233</v>
      </c>
      <c r="B5096" s="5" t="s">
        <v>12234</v>
      </c>
      <c r="C5096" s="5" t="s">
        <v>27</v>
      </c>
      <c r="D5096" s="5" t="s">
        <v>28</v>
      </c>
      <c r="E5096" s="5" t="s">
        <v>67</v>
      </c>
      <c r="F5096" s="9">
        <v>59</v>
      </c>
      <c r="G5096" s="9">
        <v>653</v>
      </c>
      <c r="H5096" s="5" t="s">
        <v>20</v>
      </c>
      <c r="I5096" s="5" t="s">
        <v>12235</v>
      </c>
      <c r="J5096" s="12" t="str">
        <f>HYPERLINK("https://www.boe.es/gazeta/dias/1804/07/24/pdfs/GMD-1804-59.pdf#page=7","Abrir facsímil")</f>
        <v>Abrir facsímil</v>
      </c>
      <c r="K5096" s="15" t="s">
        <v>22</v>
      </c>
    </row>
    <row r="5097" spans="1:11" ht="42" customHeight="1">
      <c r="A5097" s="4" t="s">
        <v>12236</v>
      </c>
      <c r="B5097" s="5" t="s">
        <v>12237</v>
      </c>
      <c r="C5097" s="5" t="s">
        <v>17</v>
      </c>
      <c r="D5097" s="5" t="s">
        <v>18</v>
      </c>
      <c r="E5097" s="5" t="s">
        <v>367</v>
      </c>
      <c r="F5097" s="9">
        <v>64</v>
      </c>
      <c r="G5097" s="9">
        <v>714</v>
      </c>
      <c r="H5097" s="5" t="s">
        <v>20</v>
      </c>
      <c r="I5097" s="5" t="s">
        <v>12238</v>
      </c>
      <c r="J5097" s="12" t="str">
        <f>HYPERLINK("https://www.boe.es/gazeta/dias/1804/08/10/pdfs/GMD-1804-64.pdf#page=8","Abrir facsímil")</f>
        <v>Abrir facsímil</v>
      </c>
      <c r="K5097" s="15" t="s">
        <v>22</v>
      </c>
    </row>
    <row r="5098" spans="1:11" ht="42" customHeight="1">
      <c r="A5098" s="4" t="s">
        <v>12239</v>
      </c>
      <c r="B5098" s="5" t="s">
        <v>12240</v>
      </c>
      <c r="C5098" s="5" t="s">
        <v>65</v>
      </c>
      <c r="D5098" s="5" t="s">
        <v>66</v>
      </c>
      <c r="E5098" s="5" t="s">
        <v>41</v>
      </c>
      <c r="F5098" s="9">
        <v>24</v>
      </c>
      <c r="G5098" s="9">
        <v>276</v>
      </c>
      <c r="H5098" s="5" t="s">
        <v>20</v>
      </c>
      <c r="I5098" s="5" t="s">
        <v>12241</v>
      </c>
      <c r="J5098" s="12" t="str">
        <f>HYPERLINK("https://www.boe.es/gazeta/dias/1804/03/23/pdfs/GMD-1804-24.pdf#page=10","Abrir facsímil")</f>
        <v>Abrir facsímil</v>
      </c>
      <c r="K5098" s="15" t="s">
        <v>22</v>
      </c>
    </row>
    <row r="5099" spans="1:11" ht="42" customHeight="1">
      <c r="A5099" s="4" t="s">
        <v>12242</v>
      </c>
      <c r="B5099" s="5" t="s">
        <v>12243</v>
      </c>
      <c r="C5099" s="5" t="s">
        <v>120</v>
      </c>
      <c r="D5099" s="5" t="s">
        <v>121</v>
      </c>
      <c r="E5099" s="5" t="s">
        <v>33</v>
      </c>
      <c r="F5099" s="9">
        <v>48</v>
      </c>
      <c r="G5099" s="9" t="s">
        <v>819</v>
      </c>
      <c r="H5099" s="5" t="s">
        <v>20</v>
      </c>
      <c r="I5099" s="5" t="s">
        <v>12244</v>
      </c>
      <c r="J5099" s="12" t="str">
        <f>HYPERLINK("https://www.boe.es/gazeta/dias/1804/06/15/pdfs/GMD-C-1804-48.pdf#page=4","Abrir facsímil")</f>
        <v>Abrir facsímil</v>
      </c>
      <c r="K5099" s="15" t="s">
        <v>22</v>
      </c>
    </row>
    <row r="5100" spans="1:11" ht="42" customHeight="1">
      <c r="A5100" s="4" t="s">
        <v>12245</v>
      </c>
      <c r="B5100" s="5" t="s">
        <v>12246</v>
      </c>
      <c r="C5100" s="5" t="s">
        <v>65</v>
      </c>
      <c r="D5100" s="5" t="s">
        <v>66</v>
      </c>
      <c r="E5100" s="5" t="s">
        <v>178</v>
      </c>
      <c r="F5100" s="9">
        <v>20</v>
      </c>
      <c r="G5100" s="9">
        <v>219</v>
      </c>
      <c r="H5100" s="5" t="s">
        <v>20</v>
      </c>
      <c r="I5100" s="5" t="s">
        <v>12247</v>
      </c>
      <c r="J5100" s="12" t="str">
        <f>HYPERLINK("https://www.boe.es/gazeta/dias/1804/03/09/pdfs/GMD-1804-20.pdf#page=7","Abrir facsímil")</f>
        <v>Abrir facsímil</v>
      </c>
      <c r="K5100" s="15" t="s">
        <v>22</v>
      </c>
    </row>
    <row r="5101" spans="1:11" ht="42" customHeight="1">
      <c r="A5101" s="4" t="s">
        <v>12248</v>
      </c>
      <c r="B5101" s="5" t="s">
        <v>12248</v>
      </c>
      <c r="C5101" s="5" t="s">
        <v>198</v>
      </c>
      <c r="D5101" s="5" t="s">
        <v>66</v>
      </c>
      <c r="E5101" s="5" t="s">
        <v>453</v>
      </c>
      <c r="F5101" s="9">
        <v>33</v>
      </c>
      <c r="G5101" s="9">
        <v>366</v>
      </c>
      <c r="H5101" s="5" t="s">
        <v>20</v>
      </c>
      <c r="I5101" s="5" t="s">
        <v>12249</v>
      </c>
      <c r="J5101" s="12" t="str">
        <f>HYPERLINK("https://www.boe.es/gazeta/dias/1804/04/24/pdfs/GMD-1804-33.pdf#page=8","Abrir facsímil")</f>
        <v>Abrir facsímil</v>
      </c>
      <c r="K5101" s="15" t="s">
        <v>22</v>
      </c>
    </row>
    <row r="5102" spans="1:11" ht="42" customHeight="1">
      <c r="A5102" s="4" t="s">
        <v>12250</v>
      </c>
      <c r="B5102" s="5" t="s">
        <v>12250</v>
      </c>
      <c r="C5102" s="5" t="s">
        <v>65</v>
      </c>
      <c r="D5102" s="5" t="s">
        <v>66</v>
      </c>
      <c r="E5102" s="5" t="s">
        <v>111</v>
      </c>
      <c r="F5102" s="9">
        <v>40</v>
      </c>
      <c r="G5102" s="9">
        <v>447</v>
      </c>
      <c r="H5102" s="5" t="s">
        <v>20</v>
      </c>
      <c r="I5102" s="5" t="s">
        <v>12251</v>
      </c>
      <c r="J5102" s="12" t="str">
        <f>HYPERLINK("https://www.boe.es/gazeta/dias/1804/05/18/pdfs/GMD-1804-40.pdf#page=9","Abrir facsímil")</f>
        <v>Abrir facsímil</v>
      </c>
      <c r="K5102" s="15" t="s">
        <v>22</v>
      </c>
    </row>
    <row r="5103" spans="1:11" ht="42" customHeight="1">
      <c r="A5103" s="4" t="s">
        <v>12252</v>
      </c>
      <c r="B5103" s="5" t="s">
        <v>12252</v>
      </c>
      <c r="C5103" s="5" t="s">
        <v>65</v>
      </c>
      <c r="D5103" s="5" t="s">
        <v>66</v>
      </c>
      <c r="E5103" s="5" t="s">
        <v>360</v>
      </c>
      <c r="F5103" s="9">
        <v>81</v>
      </c>
      <c r="G5103" s="9">
        <v>897</v>
      </c>
      <c r="H5103" s="5" t="s">
        <v>20</v>
      </c>
      <c r="I5103" s="5" t="s">
        <v>12253</v>
      </c>
      <c r="J5103" s="12" t="str">
        <f>HYPERLINK("https://www.boe.es/gazeta/dias/1804/10/09/pdfs/GMD-1804-81.pdf#page=7","Abrir facsímil")</f>
        <v>Abrir facsímil</v>
      </c>
      <c r="K5103" s="15" t="s">
        <v>22</v>
      </c>
    </row>
    <row r="5104" spans="1:11" ht="42" customHeight="1">
      <c r="A5104" s="4" t="s">
        <v>12254</v>
      </c>
      <c r="B5104" s="5" t="s">
        <v>12255</v>
      </c>
      <c r="C5104" s="5" t="s">
        <v>198</v>
      </c>
      <c r="D5104" s="5" t="s">
        <v>66</v>
      </c>
      <c r="E5104" s="5" t="s">
        <v>251</v>
      </c>
      <c r="F5104" s="9">
        <v>79</v>
      </c>
      <c r="G5104" s="9">
        <v>879</v>
      </c>
      <c r="H5104" s="5" t="s">
        <v>20</v>
      </c>
      <c r="I5104" s="5" t="s">
        <v>12256</v>
      </c>
      <c r="J5104" s="12" t="str">
        <f>HYPERLINK("https://www.boe.es/gazeta/dias/1804/10/02/pdfs/GMD-1804-79.pdf#page=9","Abrir facsímil")</f>
        <v>Abrir facsímil</v>
      </c>
      <c r="K5104" s="15" t="s">
        <v>22</v>
      </c>
    </row>
    <row r="5105" spans="1:11" ht="42" customHeight="1">
      <c r="A5105" s="4" t="s">
        <v>12257</v>
      </c>
      <c r="B5105" s="5" t="s">
        <v>12258</v>
      </c>
      <c r="C5105" s="5" t="s">
        <v>27</v>
      </c>
      <c r="D5105" s="5" t="s">
        <v>28</v>
      </c>
      <c r="E5105" s="5" t="s">
        <v>91</v>
      </c>
      <c r="F5105" s="9">
        <v>72</v>
      </c>
      <c r="G5105" s="9">
        <v>806</v>
      </c>
      <c r="H5105" s="5" t="s">
        <v>20</v>
      </c>
      <c r="I5105" s="5" t="s">
        <v>12259</v>
      </c>
      <c r="J5105" s="12" t="str">
        <f>HYPERLINK("https://www.boe.es/gazeta/dias/1804/09/07/pdfs/GMD-1804-72.pdf#page=8","Abrir facsímil")</f>
        <v>Abrir facsímil</v>
      </c>
      <c r="K5105" s="15" t="s">
        <v>22</v>
      </c>
    </row>
    <row r="5106" spans="1:11" ht="42" customHeight="1">
      <c r="A5106" s="4" t="s">
        <v>12260</v>
      </c>
      <c r="B5106" s="5" t="s">
        <v>12261</v>
      </c>
      <c r="C5106" s="5" t="s">
        <v>65</v>
      </c>
      <c r="D5106" s="5" t="s">
        <v>66</v>
      </c>
      <c r="E5106" s="5" t="s">
        <v>91</v>
      </c>
      <c r="F5106" s="9">
        <v>72</v>
      </c>
      <c r="G5106" s="9">
        <v>799</v>
      </c>
      <c r="H5106" s="5" t="s">
        <v>20</v>
      </c>
      <c r="I5106" s="5" t="s">
        <v>12262</v>
      </c>
      <c r="J5106" s="12" t="str">
        <f>HYPERLINK("https://www.boe.es/gazeta/dias/1804/09/07/pdfs/GMD-1804-72.pdf#page=1","Abrir facsímil")</f>
        <v>Abrir facsímil</v>
      </c>
      <c r="K5106" s="15" t="s">
        <v>22</v>
      </c>
    </row>
    <row r="5107" spans="1:11" ht="42" customHeight="1">
      <c r="A5107" s="4" t="s">
        <v>12263</v>
      </c>
      <c r="B5107" s="5" t="s">
        <v>12264</v>
      </c>
      <c r="C5107" s="5" t="s">
        <v>65</v>
      </c>
      <c r="D5107" s="5" t="s">
        <v>66</v>
      </c>
      <c r="E5107" s="5" t="s">
        <v>91</v>
      </c>
      <c r="F5107" s="9">
        <v>72</v>
      </c>
      <c r="G5107" s="9">
        <v>799</v>
      </c>
      <c r="H5107" s="5" t="s">
        <v>20</v>
      </c>
      <c r="I5107" s="5" t="s">
        <v>12265</v>
      </c>
      <c r="J5107" s="12" t="str">
        <f>HYPERLINK("https://www.boe.es/gazeta/dias/1804/09/07/pdfs/GMD-1804-72.pdf#page=1","Abrir facsímil")</f>
        <v>Abrir facsímil</v>
      </c>
      <c r="K5107" s="15" t="s">
        <v>22</v>
      </c>
    </row>
    <row r="5108" spans="1:11" ht="42" customHeight="1">
      <c r="A5108" s="4" t="s">
        <v>12266</v>
      </c>
      <c r="B5108" s="5" t="s">
        <v>12266</v>
      </c>
      <c r="C5108" s="5" t="s">
        <v>198</v>
      </c>
      <c r="D5108" s="5" t="s">
        <v>66</v>
      </c>
      <c r="E5108" s="5" t="s">
        <v>637</v>
      </c>
      <c r="F5108" s="9">
        <v>74</v>
      </c>
      <c r="G5108" s="9">
        <v>833</v>
      </c>
      <c r="H5108" s="5" t="s">
        <v>20</v>
      </c>
      <c r="I5108" s="5" t="s">
        <v>12267</v>
      </c>
      <c r="J5108" s="12" t="str">
        <f>HYPERLINK("https://www.boe.es/gazeta/dias/1804/09/14/pdfs/GMD-1804-74.pdf#page=11","Abrir facsímil")</f>
        <v>Abrir facsímil</v>
      </c>
      <c r="K5108" s="15" t="s">
        <v>22</v>
      </c>
    </row>
    <row r="5109" spans="1:11" ht="42" customHeight="1">
      <c r="A5109" s="4" t="s">
        <v>12268</v>
      </c>
      <c r="B5109" s="5" t="s">
        <v>12269</v>
      </c>
      <c r="C5109" s="5" t="s">
        <v>27</v>
      </c>
      <c r="D5109" s="5" t="s">
        <v>28</v>
      </c>
      <c r="E5109" s="5" t="s">
        <v>151</v>
      </c>
      <c r="F5109" s="9">
        <v>13</v>
      </c>
      <c r="G5109" s="9">
        <v>142</v>
      </c>
      <c r="H5109" s="5" t="s">
        <v>20</v>
      </c>
      <c r="I5109" s="5" t="s">
        <v>12270</v>
      </c>
      <c r="J5109" s="12" t="str">
        <f>HYPERLINK("https://www.boe.es/gazeta/dias/1804/02/14/pdfs/GMD-1804-13.pdf#page=6","Abrir facsímil")</f>
        <v>Abrir facsímil</v>
      </c>
      <c r="K5109" s="15" t="s">
        <v>22</v>
      </c>
    </row>
    <row r="5110" spans="1:11" ht="42" customHeight="1">
      <c r="A5110" s="4" t="s">
        <v>12271</v>
      </c>
      <c r="B5110" s="5" t="s">
        <v>12271</v>
      </c>
      <c r="C5110" s="5" t="s">
        <v>198</v>
      </c>
      <c r="D5110" s="5" t="s">
        <v>66</v>
      </c>
      <c r="E5110" s="5" t="s">
        <v>388</v>
      </c>
      <c r="F5110" s="9">
        <v>18</v>
      </c>
      <c r="G5110" s="9">
        <v>199</v>
      </c>
      <c r="H5110" s="5" t="s">
        <v>20</v>
      </c>
      <c r="I5110" s="5" t="s">
        <v>12272</v>
      </c>
      <c r="J5110" s="12" t="str">
        <f>HYPERLINK("https://www.boe.es/gazeta/dias/1804/03/02/pdfs/GMD-1804-18.pdf#page=11","Abrir facsímil")</f>
        <v>Abrir facsímil</v>
      </c>
      <c r="K5110" s="15" t="s">
        <v>22</v>
      </c>
    </row>
    <row r="5111" spans="1:11" ht="42" customHeight="1">
      <c r="A5111" s="4" t="s">
        <v>12273</v>
      </c>
      <c r="B5111" s="5" t="s">
        <v>12273</v>
      </c>
      <c r="C5111" s="5" t="s">
        <v>65</v>
      </c>
      <c r="D5111" s="5" t="s">
        <v>66</v>
      </c>
      <c r="E5111" s="5" t="s">
        <v>54</v>
      </c>
      <c r="F5111" s="9">
        <v>63</v>
      </c>
      <c r="G5111" s="9">
        <v>700</v>
      </c>
      <c r="H5111" s="5" t="s">
        <v>20</v>
      </c>
      <c r="I5111" s="5" t="s">
        <v>12274</v>
      </c>
      <c r="J5111" s="12" t="str">
        <f>HYPERLINK("https://www.boe.es/gazeta/dias/1804/08/07/pdfs/GMD-1804-63.pdf#page=10","Abrir facsímil")</f>
        <v>Abrir facsímil</v>
      </c>
      <c r="K5111" s="15" t="s">
        <v>22</v>
      </c>
    </row>
    <row r="5112" spans="1:11" ht="42" customHeight="1">
      <c r="A5112" s="4" t="s">
        <v>12275</v>
      </c>
      <c r="B5112" s="5" t="s">
        <v>12275</v>
      </c>
      <c r="C5112" s="5" t="s">
        <v>27</v>
      </c>
      <c r="D5112" s="5" t="s">
        <v>28</v>
      </c>
      <c r="E5112" s="5" t="s">
        <v>1337</v>
      </c>
      <c r="F5112" s="9">
        <v>7</v>
      </c>
      <c r="G5112" s="9">
        <v>70</v>
      </c>
      <c r="H5112" s="5" t="s">
        <v>20</v>
      </c>
      <c r="I5112" s="5" t="s">
        <v>12276</v>
      </c>
      <c r="J5112" s="12" t="str">
        <f>HYPERLINK("https://www.boe.es/gazeta/dias/1804/01/24/pdfs/GMD-1804-7.pdf#page=10","Abrir facsímil")</f>
        <v>Abrir facsímil</v>
      </c>
      <c r="K5112" s="15" t="s">
        <v>22</v>
      </c>
    </row>
    <row r="5113" spans="1:11" ht="42" customHeight="1">
      <c r="A5113" s="4" t="s">
        <v>12277</v>
      </c>
      <c r="B5113" s="5" t="s">
        <v>12278</v>
      </c>
      <c r="C5113" s="5" t="s">
        <v>198</v>
      </c>
      <c r="D5113" s="5" t="s">
        <v>66</v>
      </c>
      <c r="E5113" s="5" t="s">
        <v>29</v>
      </c>
      <c r="F5113" s="9">
        <v>88</v>
      </c>
      <c r="G5113" s="9">
        <v>977</v>
      </c>
      <c r="H5113" s="5" t="s">
        <v>20</v>
      </c>
      <c r="I5113" s="5" t="s">
        <v>12279</v>
      </c>
      <c r="J5113" s="12" t="str">
        <f>HYPERLINK("https://www.boe.es/gazeta/dias/1804/11/02/pdfs/GMD-1804-88.pdf#page=9","Abrir facsímil")</f>
        <v>Abrir facsímil</v>
      </c>
      <c r="K5113" s="15" t="s">
        <v>22</v>
      </c>
    </row>
    <row r="5114" spans="1:11" ht="42" customHeight="1">
      <c r="A5114" s="4" t="s">
        <v>12277</v>
      </c>
      <c r="B5114" s="5" t="s">
        <v>12278</v>
      </c>
      <c r="C5114" s="5" t="s">
        <v>27</v>
      </c>
      <c r="D5114" s="5" t="s">
        <v>28</v>
      </c>
      <c r="E5114" s="5" t="s">
        <v>212</v>
      </c>
      <c r="F5114" s="9">
        <v>89</v>
      </c>
      <c r="G5114" s="9">
        <v>990</v>
      </c>
      <c r="H5114" s="5" t="s">
        <v>20</v>
      </c>
      <c r="I5114" s="5" t="s">
        <v>12280</v>
      </c>
      <c r="J5114" s="12" t="str">
        <f>HYPERLINK("https://www.boe.es/gazeta/dias/1804/11/06/pdfs/GMD-1804-89.pdf#page=10","Abrir facsímil")</f>
        <v>Abrir facsímil</v>
      </c>
      <c r="K5114" s="15" t="s">
        <v>22</v>
      </c>
    </row>
    <row r="5115" spans="1:11" ht="42" customHeight="1">
      <c r="A5115" s="4" t="s">
        <v>12277</v>
      </c>
      <c r="B5115" s="5" t="s">
        <v>12278</v>
      </c>
      <c r="C5115" s="5" t="s">
        <v>27</v>
      </c>
      <c r="D5115" s="5" t="s">
        <v>28</v>
      </c>
      <c r="E5115" s="5" t="s">
        <v>81</v>
      </c>
      <c r="F5115" s="9">
        <v>98</v>
      </c>
      <c r="G5115" s="9">
        <v>1089</v>
      </c>
      <c r="H5115" s="5" t="s">
        <v>20</v>
      </c>
      <c r="I5115" s="5" t="s">
        <v>12281</v>
      </c>
      <c r="J5115" s="12" t="str">
        <f>HYPERLINK("https://www.boe.es/gazeta/dias/1804/12/07/pdfs/GMD-1804-98.pdf#page=5","Abrir facsímil")</f>
        <v>Abrir facsímil</v>
      </c>
      <c r="K5115" s="15" t="s">
        <v>22</v>
      </c>
    </row>
    <row r="5116" spans="1:11" ht="42" customHeight="1">
      <c r="A5116" s="4" t="s">
        <v>12282</v>
      </c>
      <c r="B5116" s="5" t="s">
        <v>12283</v>
      </c>
      <c r="C5116" s="5" t="s">
        <v>85</v>
      </c>
      <c r="D5116" s="5" t="s">
        <v>86</v>
      </c>
      <c r="E5116" s="5" t="s">
        <v>37</v>
      </c>
      <c r="F5116" s="9">
        <v>29</v>
      </c>
      <c r="G5116" s="9">
        <v>322</v>
      </c>
      <c r="H5116" s="5" t="s">
        <v>20</v>
      </c>
      <c r="I5116" s="5" t="s">
        <v>12284</v>
      </c>
      <c r="J5116" s="12" t="str">
        <f>HYPERLINK("https://www.boe.es/gazeta/dias/1804/04/10/pdfs/GMD-1804-29.pdf#page=12","Abrir facsímil")</f>
        <v>Abrir facsímil</v>
      </c>
      <c r="K5116" s="15" t="s">
        <v>22</v>
      </c>
    </row>
    <row r="5117" spans="1:11" ht="42" customHeight="1">
      <c r="A5117" s="4" t="s">
        <v>12282</v>
      </c>
      <c r="B5117" s="5" t="s">
        <v>12283</v>
      </c>
      <c r="C5117" s="5" t="s">
        <v>85</v>
      </c>
      <c r="D5117" s="5" t="s">
        <v>86</v>
      </c>
      <c r="E5117" s="5" t="s">
        <v>709</v>
      </c>
      <c r="F5117" s="9">
        <v>82</v>
      </c>
      <c r="G5117" s="9">
        <v>910</v>
      </c>
      <c r="H5117" s="5" t="s">
        <v>20</v>
      </c>
      <c r="I5117" s="5" t="s">
        <v>12285</v>
      </c>
      <c r="J5117" s="12" t="str">
        <f>HYPERLINK("https://www.boe.es/gazeta/dias/1804/10/12/pdfs/GMD-1804-82.pdf#page=12","Abrir facsímil")</f>
        <v>Abrir facsímil</v>
      </c>
      <c r="K5117" s="15" t="s">
        <v>22</v>
      </c>
    </row>
    <row r="5118" spans="1:11" ht="42" customHeight="1">
      <c r="A5118" s="4" t="s">
        <v>12286</v>
      </c>
      <c r="B5118" s="5" t="s">
        <v>12287</v>
      </c>
      <c r="C5118" s="5" t="s">
        <v>27</v>
      </c>
      <c r="D5118" s="5" t="s">
        <v>28</v>
      </c>
      <c r="E5118" s="5" t="s">
        <v>264</v>
      </c>
      <c r="F5118" s="9">
        <v>49</v>
      </c>
      <c r="G5118" s="9">
        <v>544</v>
      </c>
      <c r="H5118" s="5" t="s">
        <v>20</v>
      </c>
      <c r="I5118" s="5" t="s">
        <v>12288</v>
      </c>
      <c r="J5118" s="12" t="str">
        <f>HYPERLINK("https://www.boe.es/gazeta/dias/1804/06/19/pdfs/GMD-1804-49.pdf#page=6","Abrir facsímil")</f>
        <v>Abrir facsímil</v>
      </c>
      <c r="K5118" s="15" t="s">
        <v>22</v>
      </c>
    </row>
    <row r="5119" spans="1:11" ht="42" customHeight="1">
      <c r="A5119" s="4" t="s">
        <v>12286</v>
      </c>
      <c r="B5119" s="5" t="s">
        <v>12287</v>
      </c>
      <c r="C5119" s="5" t="s">
        <v>27</v>
      </c>
      <c r="D5119" s="5" t="s">
        <v>28</v>
      </c>
      <c r="E5119" s="5" t="s">
        <v>147</v>
      </c>
      <c r="F5119" s="9">
        <v>77</v>
      </c>
      <c r="G5119" s="9">
        <v>859</v>
      </c>
      <c r="H5119" s="5" t="s">
        <v>20</v>
      </c>
      <c r="I5119" s="5" t="s">
        <v>12289</v>
      </c>
      <c r="J5119" s="12" t="str">
        <f>HYPERLINK("https://www.boe.es/gazeta/dias/1804/09/25/pdfs/GMD-1804-77.pdf#page=9","Abrir facsímil")</f>
        <v>Abrir facsímil</v>
      </c>
      <c r="K5119" s="15" t="s">
        <v>22</v>
      </c>
    </row>
    <row r="5120" spans="1:11" ht="42" customHeight="1">
      <c r="A5120" s="4" t="s">
        <v>12290</v>
      </c>
      <c r="B5120" s="5" t="s">
        <v>12291</v>
      </c>
      <c r="C5120" s="5" t="s">
        <v>85</v>
      </c>
      <c r="D5120" s="5" t="s">
        <v>86</v>
      </c>
      <c r="E5120" s="5" t="s">
        <v>206</v>
      </c>
      <c r="F5120" s="9">
        <v>44</v>
      </c>
      <c r="G5120" s="9">
        <v>490</v>
      </c>
      <c r="H5120" s="5" t="s">
        <v>20</v>
      </c>
      <c r="I5120" s="5" t="s">
        <v>12292</v>
      </c>
      <c r="J5120" s="12" t="str">
        <f>HYPERLINK("https://www.boe.es/gazeta/dias/1804/06/01/pdfs/GMD-1804-44.pdf#page=8","Abrir facsímil")</f>
        <v>Abrir facsímil</v>
      </c>
      <c r="K5120" s="15" t="s">
        <v>22</v>
      </c>
    </row>
    <row r="5121" spans="1:11" ht="42" customHeight="1">
      <c r="A5121" s="4" t="s">
        <v>12290</v>
      </c>
      <c r="B5121" s="5" t="s">
        <v>12291</v>
      </c>
      <c r="C5121" s="5" t="s">
        <v>198</v>
      </c>
      <c r="D5121" s="5" t="s">
        <v>66</v>
      </c>
      <c r="E5121" s="5" t="s">
        <v>317</v>
      </c>
      <c r="F5121" s="9">
        <v>56</v>
      </c>
      <c r="G5121" s="9">
        <v>622</v>
      </c>
      <c r="H5121" s="5" t="s">
        <v>20</v>
      </c>
      <c r="I5121" s="5" t="s">
        <v>12293</v>
      </c>
      <c r="J5121" s="12" t="str">
        <f>HYPERLINK("https://www.boe.es/gazeta/dias/1804/07/13/pdfs/GMD-1804-56.pdf#page=8","Abrir facsímil")</f>
        <v>Abrir facsímil</v>
      </c>
      <c r="K5121" s="15" t="s">
        <v>22</v>
      </c>
    </row>
    <row r="5122" spans="1:11" ht="42" customHeight="1">
      <c r="A5122" s="4" t="s">
        <v>12294</v>
      </c>
      <c r="B5122" s="5" t="s">
        <v>12295</v>
      </c>
      <c r="C5122" s="5" t="s">
        <v>27</v>
      </c>
      <c r="D5122" s="5" t="s">
        <v>28</v>
      </c>
      <c r="E5122" s="5" t="s">
        <v>212</v>
      </c>
      <c r="F5122" s="9">
        <v>89</v>
      </c>
      <c r="G5122" s="9">
        <v>990</v>
      </c>
      <c r="H5122" s="5" t="s">
        <v>20</v>
      </c>
      <c r="I5122" s="5" t="s">
        <v>12296</v>
      </c>
      <c r="J5122" s="12" t="str">
        <f>HYPERLINK("https://www.boe.es/gazeta/dias/1804/11/06/pdfs/GMD-1804-89.pdf#page=10","Abrir facsímil")</f>
        <v>Abrir facsímil</v>
      </c>
      <c r="K5122" s="15" t="s">
        <v>22</v>
      </c>
    </row>
    <row r="5123" spans="1:11" ht="42" customHeight="1">
      <c r="A5123" s="4" t="s">
        <v>12297</v>
      </c>
      <c r="B5123" s="5" t="s">
        <v>12298</v>
      </c>
      <c r="C5123" s="5" t="s">
        <v>27</v>
      </c>
      <c r="D5123" s="5" t="s">
        <v>28</v>
      </c>
      <c r="E5123" s="5" t="s">
        <v>50</v>
      </c>
      <c r="F5123" s="9">
        <v>93</v>
      </c>
      <c r="G5123" s="9">
        <v>1031</v>
      </c>
      <c r="H5123" s="5" t="s">
        <v>20</v>
      </c>
      <c r="I5123" s="5" t="s">
        <v>12299</v>
      </c>
      <c r="J5123" s="12" t="str">
        <f>HYPERLINK("https://www.boe.es/gazeta/dias/1804/11/20/pdfs/GMD-1804-93.pdf#page=7","Abrir facsímil")</f>
        <v>Abrir facsímil</v>
      </c>
      <c r="K5123" s="15" t="s">
        <v>22</v>
      </c>
    </row>
    <row r="5124" spans="1:11" ht="42" customHeight="1">
      <c r="A5124" s="4" t="s">
        <v>12300</v>
      </c>
      <c r="B5124" s="5" t="s">
        <v>12301</v>
      </c>
      <c r="C5124" s="5" t="s">
        <v>198</v>
      </c>
      <c r="D5124" s="5" t="s">
        <v>66</v>
      </c>
      <c r="E5124" s="5" t="s">
        <v>132</v>
      </c>
      <c r="F5124" s="9">
        <v>52</v>
      </c>
      <c r="G5124" s="9">
        <v>576</v>
      </c>
      <c r="H5124" s="5" t="s">
        <v>20</v>
      </c>
      <c r="I5124" s="5" t="s">
        <v>12302</v>
      </c>
      <c r="J5124" s="12" t="str">
        <f>HYPERLINK("https://www.boe.es/gazeta/dias/1804/06/29/pdfs/GMD-1804-52.pdf#page=10","Abrir facsímil")</f>
        <v>Abrir facsímil</v>
      </c>
      <c r="K5124" s="15" t="s">
        <v>22</v>
      </c>
    </row>
    <row r="5125" spans="1:11" ht="42" customHeight="1">
      <c r="A5125" s="4" t="s">
        <v>12303</v>
      </c>
      <c r="B5125" s="5" t="s">
        <v>12303</v>
      </c>
      <c r="C5125" s="5" t="s">
        <v>57</v>
      </c>
      <c r="D5125" s="5" t="s">
        <v>58</v>
      </c>
      <c r="E5125" s="5" t="s">
        <v>542</v>
      </c>
      <c r="F5125" s="9">
        <v>54</v>
      </c>
      <c r="G5125" s="9">
        <v>596</v>
      </c>
      <c r="H5125" s="5" t="s">
        <v>20</v>
      </c>
      <c r="I5125" s="5" t="s">
        <v>12304</v>
      </c>
      <c r="J5125" s="12" t="str">
        <f>HYPERLINK("https://www.boe.es/gazeta/dias/1804/07/06/pdfs/GMD-1804-54.pdf#page=2","Abrir facsímil")</f>
        <v>Abrir facsímil</v>
      </c>
      <c r="K5125" s="15" t="s">
        <v>22</v>
      </c>
    </row>
    <row r="5126" spans="1:11" ht="42" customHeight="1">
      <c r="A5126" s="4" t="s">
        <v>12305</v>
      </c>
      <c r="B5126" s="5" t="s">
        <v>12306</v>
      </c>
      <c r="C5126" s="5" t="s">
        <v>17</v>
      </c>
      <c r="D5126" s="5" t="s">
        <v>18</v>
      </c>
      <c r="E5126" s="5" t="s">
        <v>71</v>
      </c>
      <c r="F5126" s="9">
        <v>99</v>
      </c>
      <c r="G5126" s="9">
        <v>1106</v>
      </c>
      <c r="H5126" s="5" t="s">
        <v>20</v>
      </c>
      <c r="I5126" s="5" t="s">
        <v>12307</v>
      </c>
      <c r="J5126" s="12" t="str">
        <f>HYPERLINK("https://www.boe.es/gazeta/dias/1804/12/11/pdfs/GMD-1804-99.pdf#page=6","Abrir facsímil")</f>
        <v>Abrir facsímil</v>
      </c>
      <c r="K5126" s="15" t="s">
        <v>22</v>
      </c>
    </row>
    <row r="5127" spans="1:11" ht="42" customHeight="1">
      <c r="A5127" s="4" t="s">
        <v>12308</v>
      </c>
      <c r="B5127" s="5" t="s">
        <v>12309</v>
      </c>
      <c r="C5127" s="5" t="s">
        <v>27</v>
      </c>
      <c r="D5127" s="5" t="s">
        <v>28</v>
      </c>
      <c r="E5127" s="5" t="s">
        <v>67</v>
      </c>
      <c r="F5127" s="9">
        <v>59</v>
      </c>
      <c r="G5127" s="9">
        <v>652</v>
      </c>
      <c r="H5127" s="5" t="s">
        <v>20</v>
      </c>
      <c r="I5127" s="5" t="s">
        <v>12310</v>
      </c>
      <c r="J5127" s="12" t="str">
        <f>HYPERLINK("https://www.boe.es/gazeta/dias/1804/07/24/pdfs/GMD-1804-59.pdf#page=6","Abrir facsímil")</f>
        <v>Abrir facsímil</v>
      </c>
      <c r="K5127" s="15" t="s">
        <v>22</v>
      </c>
    </row>
    <row r="5128" spans="1:11" ht="42" customHeight="1">
      <c r="A5128" s="4" t="s">
        <v>12311</v>
      </c>
      <c r="B5128" s="5" t="s">
        <v>12312</v>
      </c>
      <c r="C5128" s="5" t="s">
        <v>65</v>
      </c>
      <c r="D5128" s="5" t="s">
        <v>66</v>
      </c>
      <c r="E5128" s="5" t="s">
        <v>308</v>
      </c>
      <c r="F5128" s="9">
        <v>96</v>
      </c>
      <c r="G5128" s="9">
        <v>1067</v>
      </c>
      <c r="H5128" s="5" t="s">
        <v>20</v>
      </c>
      <c r="I5128" s="5" t="s">
        <v>12313</v>
      </c>
      <c r="J5128" s="12" t="str">
        <f>HYPERLINK("https://www.boe.es/gazeta/dias/1804/11/30/pdfs/GMD-1804-96.pdf#page=7","Abrir facsímil")</f>
        <v>Abrir facsímil</v>
      </c>
      <c r="K5128" s="15" t="s">
        <v>22</v>
      </c>
    </row>
    <row r="5129" spans="1:11" ht="42" customHeight="1">
      <c r="A5129" s="4" t="s">
        <v>12314</v>
      </c>
      <c r="B5129" s="5" t="s">
        <v>12315</v>
      </c>
      <c r="C5129" s="5" t="s">
        <v>57</v>
      </c>
      <c r="D5129" s="5" t="s">
        <v>58</v>
      </c>
      <c r="E5129" s="5" t="s">
        <v>61</v>
      </c>
      <c r="F5129" s="9">
        <v>61</v>
      </c>
      <c r="G5129" s="9">
        <v>672</v>
      </c>
      <c r="H5129" s="5" t="s">
        <v>20</v>
      </c>
      <c r="I5129" s="5" t="s">
        <v>12316</v>
      </c>
      <c r="J5129" s="12" t="str">
        <f>HYPERLINK("https://www.boe.es/gazeta/dias/1804/07/31/pdfs/GMD-1804-61.pdf#page=2","Abrir facsímil")</f>
        <v>Abrir facsímil</v>
      </c>
      <c r="K5129" s="15" t="s">
        <v>22</v>
      </c>
    </row>
    <row r="5130" spans="1:11" ht="42" customHeight="1">
      <c r="A5130" s="4" t="s">
        <v>12317</v>
      </c>
      <c r="B5130" s="5" t="s">
        <v>12317</v>
      </c>
      <c r="C5130" s="5" t="s">
        <v>57</v>
      </c>
      <c r="D5130" s="5" t="s">
        <v>58</v>
      </c>
      <c r="E5130" s="5" t="s">
        <v>542</v>
      </c>
      <c r="F5130" s="9">
        <v>54</v>
      </c>
      <c r="G5130" s="9">
        <v>598</v>
      </c>
      <c r="H5130" s="5" t="s">
        <v>20</v>
      </c>
      <c r="I5130" s="5" t="s">
        <v>12318</v>
      </c>
      <c r="J5130" s="12" t="str">
        <f>HYPERLINK("https://www.boe.es/gazeta/dias/1804/07/06/pdfs/GMD-1804-54.pdf#page=4","Abrir facsímil")</f>
        <v>Abrir facsímil</v>
      </c>
      <c r="K5130" s="15" t="s">
        <v>22</v>
      </c>
    </row>
    <row r="5131" spans="1:11" ht="42" customHeight="1">
      <c r="A5131" s="4" t="s">
        <v>12319</v>
      </c>
      <c r="B5131" s="5" t="s">
        <v>12319</v>
      </c>
      <c r="C5131" s="5" t="s">
        <v>57</v>
      </c>
      <c r="D5131" s="5" t="s">
        <v>58</v>
      </c>
      <c r="E5131" s="5" t="s">
        <v>1095</v>
      </c>
      <c r="F5131" s="9">
        <v>73</v>
      </c>
      <c r="G5131" s="9">
        <v>817</v>
      </c>
      <c r="H5131" s="5" t="s">
        <v>20</v>
      </c>
      <c r="I5131" s="5" t="s">
        <v>12320</v>
      </c>
      <c r="J5131" s="12" t="str">
        <f>HYPERLINK("https://www.boe.es/gazeta/dias/1804/09/11/pdfs/GMD-1804-73.pdf#page=7","Abrir facsímil")</f>
        <v>Abrir facsímil</v>
      </c>
      <c r="K5131" s="15" t="s">
        <v>22</v>
      </c>
    </row>
    <row r="5132" spans="1:11" ht="42" customHeight="1">
      <c r="A5132" s="4" t="s">
        <v>12321</v>
      </c>
      <c r="B5132" s="5" t="s">
        <v>12321</v>
      </c>
      <c r="C5132" s="5" t="s">
        <v>198</v>
      </c>
      <c r="D5132" s="5" t="s">
        <v>66</v>
      </c>
      <c r="E5132" s="5" t="s">
        <v>97</v>
      </c>
      <c r="F5132" s="9">
        <v>50</v>
      </c>
      <c r="G5132" s="9">
        <v>554</v>
      </c>
      <c r="H5132" s="5" t="s">
        <v>20</v>
      </c>
      <c r="I5132" s="5" t="s">
        <v>12322</v>
      </c>
      <c r="J5132" s="12" t="str">
        <f>HYPERLINK("https://www.boe.es/gazeta/dias/1804/06/22/pdfs/GMD-1804-50.pdf#page=8","Abrir facsímil")</f>
        <v>Abrir facsímil</v>
      </c>
      <c r="K5132" s="15" t="s">
        <v>22</v>
      </c>
    </row>
    <row r="5133" spans="1:11" ht="42" customHeight="1">
      <c r="A5133" s="4" t="s">
        <v>12323</v>
      </c>
      <c r="B5133" s="5" t="s">
        <v>12323</v>
      </c>
      <c r="C5133" s="5" t="s">
        <v>27</v>
      </c>
      <c r="D5133" s="5" t="s">
        <v>28</v>
      </c>
      <c r="E5133" s="5" t="s">
        <v>542</v>
      </c>
      <c r="F5133" s="9">
        <v>54</v>
      </c>
      <c r="G5133" s="9">
        <v>598</v>
      </c>
      <c r="H5133" s="5" t="s">
        <v>20</v>
      </c>
      <c r="I5133" s="5" t="s">
        <v>12324</v>
      </c>
      <c r="J5133" s="12" t="str">
        <f>HYPERLINK("https://www.boe.es/gazeta/dias/1804/07/06/pdfs/GMD-1804-54.pdf#page=4","Abrir facsímil")</f>
        <v>Abrir facsímil</v>
      </c>
      <c r="K5133" s="15" t="s">
        <v>22</v>
      </c>
    </row>
    <row r="5134" spans="1:11" ht="42" customHeight="1">
      <c r="A5134" s="4" t="s">
        <v>12325</v>
      </c>
      <c r="B5134" s="5" t="s">
        <v>12326</v>
      </c>
      <c r="C5134" s="5" t="s">
        <v>85</v>
      </c>
      <c r="D5134" s="5" t="s">
        <v>86</v>
      </c>
      <c r="E5134" s="5" t="s">
        <v>576</v>
      </c>
      <c r="F5134" s="9">
        <v>85</v>
      </c>
      <c r="G5134" s="9">
        <v>932</v>
      </c>
      <c r="H5134" s="5" t="s">
        <v>20</v>
      </c>
      <c r="I5134" s="5" t="s">
        <v>12327</v>
      </c>
      <c r="J5134" s="12" t="str">
        <f>HYPERLINK("https://www.boe.es/gazeta/dias/1804/10/23/pdfs/GMD-1804-85.pdf#page=2","Abrir facsímil")</f>
        <v>Abrir facsímil</v>
      </c>
      <c r="K5134" s="15" t="s">
        <v>22</v>
      </c>
    </row>
    <row r="5135" spans="1:11" ht="42" customHeight="1">
      <c r="A5135" s="4" t="s">
        <v>12328</v>
      </c>
      <c r="B5135" s="5" t="s">
        <v>12329</v>
      </c>
      <c r="C5135" s="5" t="s">
        <v>57</v>
      </c>
      <c r="D5135" s="5" t="s">
        <v>58</v>
      </c>
      <c r="E5135" s="5" t="s">
        <v>332</v>
      </c>
      <c r="F5135" s="9">
        <v>66</v>
      </c>
      <c r="G5135" s="9">
        <v>737</v>
      </c>
      <c r="H5135" s="5" t="s">
        <v>20</v>
      </c>
      <c r="I5135" s="5" t="s">
        <v>12330</v>
      </c>
      <c r="J5135" s="12" t="str">
        <f>HYPERLINK("https://www.boe.es/gazeta/dias/1804/08/17/pdfs/GMD-1804-66.pdf#page=3","Abrir facsímil")</f>
        <v>Abrir facsímil</v>
      </c>
      <c r="K5135" s="15" t="s">
        <v>22</v>
      </c>
    </row>
    <row r="5136" spans="1:11" ht="42" customHeight="1">
      <c r="A5136" s="4" t="s">
        <v>12331</v>
      </c>
      <c r="B5136" s="5" t="s">
        <v>12331</v>
      </c>
      <c r="C5136" s="5" t="s">
        <v>57</v>
      </c>
      <c r="D5136" s="5" t="s">
        <v>58</v>
      </c>
      <c r="E5136" s="5" t="s">
        <v>427</v>
      </c>
      <c r="F5136" s="9">
        <v>80</v>
      </c>
      <c r="G5136" s="9">
        <v>886</v>
      </c>
      <c r="H5136" s="5" t="s">
        <v>20</v>
      </c>
      <c r="I5136" s="5" t="s">
        <v>12332</v>
      </c>
      <c r="J5136" s="12" t="str">
        <f>HYPERLINK("https://www.boe.es/gazeta/dias/1804/10/05/pdfs/GMD-1804-80.pdf#page=4","Abrir facsímil")</f>
        <v>Abrir facsímil</v>
      </c>
      <c r="K5136" s="15" t="s">
        <v>22</v>
      </c>
    </row>
    <row r="5137" spans="1:11" ht="42" customHeight="1">
      <c r="A5137" s="4" t="s">
        <v>12333</v>
      </c>
      <c r="B5137" s="5" t="s">
        <v>12333</v>
      </c>
      <c r="C5137" s="5" t="s">
        <v>57</v>
      </c>
      <c r="D5137" s="5" t="s">
        <v>58</v>
      </c>
      <c r="E5137" s="5" t="s">
        <v>230</v>
      </c>
      <c r="F5137" s="9">
        <v>26</v>
      </c>
      <c r="G5137" s="9">
        <v>290</v>
      </c>
      <c r="H5137" s="5" t="s">
        <v>20</v>
      </c>
      <c r="I5137" s="5" t="s">
        <v>12334</v>
      </c>
      <c r="J5137" s="12" t="str">
        <f>HYPERLINK("https://www.boe.es/gazeta/dias/1804/03/30/pdfs/GMD-1804-26.pdf#page=4","Abrir facsímil")</f>
        <v>Abrir facsímil</v>
      </c>
      <c r="K5137" s="15" t="s">
        <v>22</v>
      </c>
    </row>
    <row r="5138" spans="1:11" ht="42" customHeight="1">
      <c r="A5138" s="4" t="s">
        <v>12335</v>
      </c>
      <c r="B5138" s="5" t="s">
        <v>12336</v>
      </c>
      <c r="C5138" s="5" t="s">
        <v>27</v>
      </c>
      <c r="D5138" s="5" t="s">
        <v>28</v>
      </c>
      <c r="E5138" s="5" t="s">
        <v>106</v>
      </c>
      <c r="F5138" s="9">
        <v>34</v>
      </c>
      <c r="G5138" s="9">
        <v>375</v>
      </c>
      <c r="H5138" s="5" t="s">
        <v>20</v>
      </c>
      <c r="I5138" s="5" t="s">
        <v>12337</v>
      </c>
      <c r="J5138" s="12" t="str">
        <f>HYPERLINK("https://www.boe.es/gazeta/dias/1804/04/27/pdfs/GMD-1804-34.pdf#page=5","Abrir facsímil")</f>
        <v>Abrir facsímil</v>
      </c>
      <c r="K5138" s="15" t="s">
        <v>22</v>
      </c>
    </row>
    <row r="5139" spans="1:11" ht="42" customHeight="1">
      <c r="A5139" s="4" t="s">
        <v>12338</v>
      </c>
      <c r="B5139" s="5" t="s">
        <v>12339</v>
      </c>
      <c r="C5139" s="5" t="s">
        <v>17</v>
      </c>
      <c r="D5139" s="5" t="s">
        <v>18</v>
      </c>
      <c r="E5139" s="5" t="s">
        <v>143</v>
      </c>
      <c r="F5139" s="9">
        <v>87</v>
      </c>
      <c r="G5139" s="9">
        <v>965</v>
      </c>
      <c r="H5139" s="5" t="s">
        <v>20</v>
      </c>
      <c r="I5139" s="5" t="s">
        <v>12340</v>
      </c>
      <c r="J5139" s="12" t="str">
        <f>HYPERLINK("https://www.boe.es/gazeta/dias/1804/10/30/pdfs/GMD-1804-87.pdf#page=9","Abrir facsímil")</f>
        <v>Abrir facsímil</v>
      </c>
      <c r="K5139" s="15" t="s">
        <v>22</v>
      </c>
    </row>
    <row r="5140" spans="1:11" ht="42" customHeight="1">
      <c r="A5140" s="4" t="s">
        <v>12341</v>
      </c>
      <c r="B5140" s="5" t="s">
        <v>12342</v>
      </c>
      <c r="C5140" s="5" t="s">
        <v>17</v>
      </c>
      <c r="D5140" s="5" t="s">
        <v>18</v>
      </c>
      <c r="E5140" s="5" t="s">
        <v>421</v>
      </c>
      <c r="F5140" s="9">
        <v>47</v>
      </c>
      <c r="G5140" s="9">
        <v>528</v>
      </c>
      <c r="H5140" s="5" t="s">
        <v>20</v>
      </c>
      <c r="I5140" s="5" t="s">
        <v>12343</v>
      </c>
      <c r="J5140" s="12" t="str">
        <f>HYPERLINK("https://www.boe.es/gazeta/dias/1804/06/12/pdfs/GMD-1804-47.pdf#page=10","Abrir facsímil")</f>
        <v>Abrir facsímil</v>
      </c>
      <c r="K5140" s="15" t="s">
        <v>22</v>
      </c>
    </row>
    <row r="5141" spans="1:11" ht="42" customHeight="1">
      <c r="A5141" s="4" t="s">
        <v>12344</v>
      </c>
      <c r="B5141" s="5" t="s">
        <v>12345</v>
      </c>
      <c r="C5141" s="5" t="s">
        <v>17</v>
      </c>
      <c r="D5141" s="5" t="s">
        <v>18</v>
      </c>
      <c r="E5141" s="5" t="s">
        <v>71</v>
      </c>
      <c r="F5141" s="9">
        <v>99</v>
      </c>
      <c r="G5141" s="9">
        <v>1106</v>
      </c>
      <c r="H5141" s="5" t="s">
        <v>20</v>
      </c>
      <c r="I5141" s="5" t="s">
        <v>12346</v>
      </c>
      <c r="J5141" s="12" t="str">
        <f>HYPERLINK("https://www.boe.es/gazeta/dias/1804/12/11/pdfs/GMD-1804-99.pdf#page=6","Abrir facsímil")</f>
        <v>Abrir facsímil</v>
      </c>
      <c r="K5141" s="15" t="s">
        <v>22</v>
      </c>
    </row>
    <row r="5142" spans="1:11" ht="42" customHeight="1">
      <c r="A5142" s="4" t="s">
        <v>12347</v>
      </c>
      <c r="B5142" s="5" t="s">
        <v>12348</v>
      </c>
      <c r="C5142" s="5" t="s">
        <v>17</v>
      </c>
      <c r="D5142" s="5" t="s">
        <v>18</v>
      </c>
      <c r="E5142" s="5" t="s">
        <v>421</v>
      </c>
      <c r="F5142" s="9">
        <v>47</v>
      </c>
      <c r="G5142" s="9">
        <v>529</v>
      </c>
      <c r="H5142" s="5" t="s">
        <v>20</v>
      </c>
      <c r="I5142" s="5" t="s">
        <v>12349</v>
      </c>
      <c r="J5142" s="12" t="str">
        <f>HYPERLINK("https://www.boe.es/gazeta/dias/1804/06/12/pdfs/GMD-1804-47.pdf#page=11","Abrir facsímil")</f>
        <v>Abrir facsímil</v>
      </c>
      <c r="K5142" s="15" t="s">
        <v>22</v>
      </c>
    </row>
    <row r="5143" spans="1:11" ht="42" customHeight="1">
      <c r="A5143" s="4" t="s">
        <v>12350</v>
      </c>
      <c r="B5143" s="5" t="s">
        <v>12351</v>
      </c>
      <c r="C5143" s="5" t="s">
        <v>57</v>
      </c>
      <c r="D5143" s="5" t="s">
        <v>58</v>
      </c>
      <c r="E5143" s="5" t="s">
        <v>782</v>
      </c>
      <c r="F5143" s="9">
        <v>75</v>
      </c>
      <c r="G5143" s="9">
        <v>835</v>
      </c>
      <c r="H5143" s="5" t="s">
        <v>20</v>
      </c>
      <c r="I5143" s="5" t="s">
        <v>12352</v>
      </c>
      <c r="J5143" s="12" t="str">
        <f>HYPERLINK("https://www.boe.es/gazeta/dias/1804/09/18/pdfs/GMD-1804-75.pdf#page=1","Abrir facsímil")</f>
        <v>Abrir facsímil</v>
      </c>
      <c r="K5143" s="15" t="s">
        <v>22</v>
      </c>
    </row>
    <row r="5144" spans="1:11" ht="42" customHeight="1">
      <c r="A5144" s="4" t="s">
        <v>12353</v>
      </c>
      <c r="B5144" s="5" t="s">
        <v>12354</v>
      </c>
      <c r="C5144" s="5" t="s">
        <v>17</v>
      </c>
      <c r="D5144" s="5" t="s">
        <v>18</v>
      </c>
      <c r="E5144" s="5" t="s">
        <v>950</v>
      </c>
      <c r="F5144" s="9">
        <v>90</v>
      </c>
      <c r="G5144" s="9">
        <v>999</v>
      </c>
      <c r="H5144" s="5" t="s">
        <v>20</v>
      </c>
      <c r="I5144" s="5" t="s">
        <v>12355</v>
      </c>
      <c r="J5144" s="12" t="str">
        <f>HYPERLINK("https://www.boe.es/gazeta/dias/1804/11/09/pdfs/GMD-1804-90.pdf#page=7","Abrir facsímil")</f>
        <v>Abrir facsímil</v>
      </c>
      <c r="K5144" s="15" t="s">
        <v>22</v>
      </c>
    </row>
    <row r="5145" spans="1:11" ht="42" customHeight="1">
      <c r="A5145" s="4" t="s">
        <v>12356</v>
      </c>
      <c r="B5145" s="5" t="s">
        <v>12356</v>
      </c>
      <c r="C5145" s="5" t="s">
        <v>57</v>
      </c>
      <c r="D5145" s="5" t="s">
        <v>58</v>
      </c>
      <c r="E5145" s="5" t="s">
        <v>637</v>
      </c>
      <c r="F5145" s="9">
        <v>74</v>
      </c>
      <c r="G5145" s="9">
        <v>828</v>
      </c>
      <c r="H5145" s="5" t="s">
        <v>20</v>
      </c>
      <c r="I5145" s="5" t="s">
        <v>12357</v>
      </c>
      <c r="J5145" s="12" t="str">
        <f>HYPERLINK("https://www.boe.es/gazeta/dias/1804/09/14/pdfs/GMD-1804-74.pdf#page=6","Abrir facsímil")</f>
        <v>Abrir facsímil</v>
      </c>
      <c r="K5145" s="15" t="s">
        <v>22</v>
      </c>
    </row>
    <row r="5146" spans="1:11" ht="42" customHeight="1">
      <c r="A5146" s="4" t="s">
        <v>12358</v>
      </c>
      <c r="B5146" s="5" t="s">
        <v>12359</v>
      </c>
      <c r="C5146" s="5" t="s">
        <v>85</v>
      </c>
      <c r="D5146" s="5" t="s">
        <v>86</v>
      </c>
      <c r="E5146" s="5" t="s">
        <v>136</v>
      </c>
      <c r="F5146" s="9">
        <v>23</v>
      </c>
      <c r="G5146" s="9">
        <v>266</v>
      </c>
      <c r="H5146" s="5" t="s">
        <v>20</v>
      </c>
      <c r="I5146" s="5" t="s">
        <v>12360</v>
      </c>
      <c r="J5146" s="12" t="str">
        <f>HYPERLINK("https://www.boe.es/gazeta/dias/1804/03/20/pdfs/GMD-1804-23.pdf#page=12","Abrir facsímil")</f>
        <v>Abrir facsímil</v>
      </c>
      <c r="K5146" s="15" t="s">
        <v>22</v>
      </c>
    </row>
    <row r="5147" spans="1:11" ht="42" customHeight="1">
      <c r="A5147" s="4" t="s">
        <v>12361</v>
      </c>
      <c r="B5147" s="5" t="s">
        <v>12362</v>
      </c>
      <c r="C5147" s="5" t="s">
        <v>198</v>
      </c>
      <c r="D5147" s="5" t="s">
        <v>66</v>
      </c>
      <c r="E5147" s="5" t="s">
        <v>226</v>
      </c>
      <c r="F5147" s="9">
        <v>17</v>
      </c>
      <c r="G5147" s="9" t="s">
        <v>122</v>
      </c>
      <c r="H5147" s="5" t="s">
        <v>20</v>
      </c>
      <c r="I5147" s="5" t="s">
        <v>12363</v>
      </c>
      <c r="J5147" s="12" t="str">
        <f>HYPERLINK("https://www.boe.es/gazeta/dias/1804/02/28/pdfs/GMD-C-1804-17.pdf#page=3","Abrir facsímil")</f>
        <v>Abrir facsímil</v>
      </c>
      <c r="K5147" s="15" t="s">
        <v>22</v>
      </c>
    </row>
    <row r="5148" spans="1:11" ht="42" customHeight="1">
      <c r="A5148" s="4" t="s">
        <v>12361</v>
      </c>
      <c r="B5148" s="5" t="s">
        <v>12362</v>
      </c>
      <c r="C5148" s="5" t="s">
        <v>262</v>
      </c>
      <c r="D5148" s="5" t="s">
        <v>263</v>
      </c>
      <c r="E5148" s="5" t="s">
        <v>226</v>
      </c>
      <c r="F5148" s="9">
        <v>17</v>
      </c>
      <c r="G5148" s="9" t="s">
        <v>819</v>
      </c>
      <c r="H5148" s="5" t="s">
        <v>20</v>
      </c>
      <c r="I5148" s="5" t="s">
        <v>12364</v>
      </c>
      <c r="J5148" s="12" t="str">
        <f>HYPERLINK("https://www.boe.es/gazeta/dias/1804/02/28/pdfs/GMD-C-1804-17.pdf#page=4","Abrir facsímil")</f>
        <v>Abrir facsímil</v>
      </c>
      <c r="K5148" s="15" t="s">
        <v>22</v>
      </c>
    </row>
    <row r="5149" spans="1:11" ht="42" customHeight="1">
      <c r="A5149" s="4" t="s">
        <v>12361</v>
      </c>
      <c r="B5149" s="5" t="s">
        <v>12362</v>
      </c>
      <c r="C5149" s="5" t="s">
        <v>85</v>
      </c>
      <c r="D5149" s="5" t="s">
        <v>86</v>
      </c>
      <c r="E5149" s="5" t="s">
        <v>212</v>
      </c>
      <c r="F5149" s="9">
        <v>89</v>
      </c>
      <c r="G5149" s="9">
        <v>992</v>
      </c>
      <c r="H5149" s="5" t="s">
        <v>20</v>
      </c>
      <c r="I5149" s="5" t="s">
        <v>12365</v>
      </c>
      <c r="J5149" s="12" t="str">
        <f>HYPERLINK("https://www.boe.es/gazeta/dias/1804/11/06/pdfs/GMD-1804-89.pdf#page=12","Abrir facsímil")</f>
        <v>Abrir facsímil</v>
      </c>
      <c r="K5149" s="15" t="s">
        <v>22</v>
      </c>
    </row>
    <row r="5150" spans="1:11" ht="42" customHeight="1">
      <c r="A5150" s="4" t="s">
        <v>12366</v>
      </c>
      <c r="B5150" s="5" t="s">
        <v>12367</v>
      </c>
      <c r="C5150" s="5" t="s">
        <v>27</v>
      </c>
      <c r="D5150" s="5" t="s">
        <v>28</v>
      </c>
      <c r="E5150" s="5" t="s">
        <v>43</v>
      </c>
      <c r="F5150" s="9">
        <v>84</v>
      </c>
      <c r="G5150" s="9">
        <v>928</v>
      </c>
      <c r="H5150" s="5" t="s">
        <v>20</v>
      </c>
      <c r="I5150" s="5" t="s">
        <v>12368</v>
      </c>
      <c r="J5150" s="12" t="str">
        <f>HYPERLINK("https://www.boe.es/gazeta/dias/1804/10/19/pdfs/GMD-1804-84.pdf#page=6","Abrir facsímil")</f>
        <v>Abrir facsímil</v>
      </c>
      <c r="K5150" s="15" t="s">
        <v>22</v>
      </c>
    </row>
    <row r="5151" spans="1:11" ht="42" customHeight="1">
      <c r="A5151" s="4" t="s">
        <v>12369</v>
      </c>
      <c r="B5151" s="5" t="s">
        <v>12370</v>
      </c>
      <c r="C5151" s="5" t="s">
        <v>27</v>
      </c>
      <c r="D5151" s="5" t="s">
        <v>28</v>
      </c>
      <c r="E5151" s="5" t="s">
        <v>258</v>
      </c>
      <c r="F5151" s="9">
        <v>14</v>
      </c>
      <c r="G5151" s="9">
        <v>153</v>
      </c>
      <c r="H5151" s="5" t="s">
        <v>20</v>
      </c>
      <c r="I5151" s="5" t="s">
        <v>12371</v>
      </c>
      <c r="J5151" s="12" t="str">
        <f>HYPERLINK("https://www.boe.es/gazeta/dias/1804/02/17/pdfs/GMD-1804-14.pdf#page=9","Abrir facsímil")</f>
        <v>Abrir facsímil</v>
      </c>
      <c r="K5151" s="15" t="s">
        <v>22</v>
      </c>
    </row>
    <row r="5152" spans="1:11" ht="42" customHeight="1">
      <c r="A5152" s="4" t="s">
        <v>12369</v>
      </c>
      <c r="B5152" s="5" t="s">
        <v>12370</v>
      </c>
      <c r="C5152" s="5" t="s">
        <v>27</v>
      </c>
      <c r="D5152" s="5" t="s">
        <v>28</v>
      </c>
      <c r="E5152" s="5" t="s">
        <v>91</v>
      </c>
      <c r="F5152" s="9">
        <v>72</v>
      </c>
      <c r="G5152" s="9">
        <v>806</v>
      </c>
      <c r="H5152" s="5" t="s">
        <v>20</v>
      </c>
      <c r="I5152" s="5" t="s">
        <v>12372</v>
      </c>
      <c r="J5152" s="12" t="str">
        <f>HYPERLINK("https://www.boe.es/gazeta/dias/1804/09/07/pdfs/GMD-1804-72.pdf#page=8","Abrir facsímil")</f>
        <v>Abrir facsímil</v>
      </c>
      <c r="K5152" s="15" t="s">
        <v>22</v>
      </c>
    </row>
    <row r="5153" spans="1:11" ht="42" customHeight="1">
      <c r="A5153" s="4" t="s">
        <v>12373</v>
      </c>
      <c r="B5153" s="5" t="s">
        <v>12374</v>
      </c>
      <c r="C5153" s="5" t="s">
        <v>65</v>
      </c>
      <c r="D5153" s="5" t="s">
        <v>66</v>
      </c>
      <c r="E5153" s="5" t="s">
        <v>326</v>
      </c>
      <c r="F5153" s="9">
        <v>69</v>
      </c>
      <c r="G5153" s="9">
        <v>775</v>
      </c>
      <c r="H5153" s="5" t="s">
        <v>20</v>
      </c>
      <c r="I5153" s="5" t="s">
        <v>12375</v>
      </c>
      <c r="J5153" s="12" t="str">
        <f>HYPERLINK("https://www.boe.es/gazeta/dias/1804/08/28/pdfs/GMD-1804-69.pdf#page=9","Abrir facsímil")</f>
        <v>Abrir facsímil</v>
      </c>
      <c r="K5153" s="15" t="s">
        <v>22</v>
      </c>
    </row>
    <row r="5154" spans="1:11" ht="42" customHeight="1">
      <c r="A5154" s="4" t="s">
        <v>12376</v>
      </c>
      <c r="B5154" s="5" t="s">
        <v>12377</v>
      </c>
      <c r="C5154" s="5" t="s">
        <v>65</v>
      </c>
      <c r="D5154" s="5" t="s">
        <v>66</v>
      </c>
      <c r="E5154" s="5" t="s">
        <v>75</v>
      </c>
      <c r="F5154" s="9">
        <v>16</v>
      </c>
      <c r="G5154" s="9">
        <v>173</v>
      </c>
      <c r="H5154" s="5" t="s">
        <v>20</v>
      </c>
      <c r="I5154" s="5" t="s">
        <v>12378</v>
      </c>
      <c r="J5154" s="12" t="str">
        <f>HYPERLINK("https://www.boe.es/gazeta/dias/1804/02/24/pdfs/GMD-1804-16.pdf#page=9","Abrir facsímil")</f>
        <v>Abrir facsímil</v>
      </c>
      <c r="K5154" s="15" t="s">
        <v>22</v>
      </c>
    </row>
    <row r="5155" spans="1:11" ht="42" customHeight="1">
      <c r="A5155" s="4" t="s">
        <v>12379</v>
      </c>
      <c r="B5155" s="5" t="s">
        <v>12380</v>
      </c>
      <c r="C5155" s="5" t="s">
        <v>85</v>
      </c>
      <c r="D5155" s="5" t="s">
        <v>86</v>
      </c>
      <c r="E5155" s="5" t="s">
        <v>71</v>
      </c>
      <c r="F5155" s="9">
        <v>99</v>
      </c>
      <c r="G5155" s="9">
        <v>1108</v>
      </c>
      <c r="H5155" s="5" t="s">
        <v>20</v>
      </c>
      <c r="I5155" s="5" t="s">
        <v>12381</v>
      </c>
      <c r="J5155" s="12" t="str">
        <f>HYPERLINK("https://www.boe.es/gazeta/dias/1804/12/11/pdfs/GMD-1804-99.pdf#page=8","Abrir facsímil")</f>
        <v>Abrir facsímil</v>
      </c>
      <c r="K5155" s="15" t="s">
        <v>22</v>
      </c>
    </row>
    <row r="5156" spans="1:11" ht="42" customHeight="1">
      <c r="A5156" s="4" t="s">
        <v>12382</v>
      </c>
      <c r="B5156" s="5" t="s">
        <v>12383</v>
      </c>
      <c r="C5156" s="5" t="s">
        <v>65</v>
      </c>
      <c r="D5156" s="5" t="s">
        <v>66</v>
      </c>
      <c r="E5156" s="5" t="s">
        <v>950</v>
      </c>
      <c r="F5156" s="9">
        <v>90</v>
      </c>
      <c r="G5156" s="9">
        <v>998</v>
      </c>
      <c r="H5156" s="5" t="s">
        <v>20</v>
      </c>
      <c r="I5156" s="5" t="s">
        <v>12384</v>
      </c>
      <c r="J5156" s="12" t="str">
        <f>HYPERLINK("https://www.boe.es/gazeta/dias/1804/11/09/pdfs/GMD-1804-90.pdf#page=6","Abrir facsímil")</f>
        <v>Abrir facsímil</v>
      </c>
      <c r="K5156" s="15" t="s">
        <v>22</v>
      </c>
    </row>
    <row r="5157" spans="1:11" ht="42" customHeight="1">
      <c r="A5157" s="4" t="s">
        <v>12385</v>
      </c>
      <c r="B5157" s="5" t="s">
        <v>12386</v>
      </c>
      <c r="C5157" s="5" t="s">
        <v>27</v>
      </c>
      <c r="D5157" s="5" t="s">
        <v>28</v>
      </c>
      <c r="E5157" s="5" t="s">
        <v>320</v>
      </c>
      <c r="F5157" s="9">
        <v>31</v>
      </c>
      <c r="G5157" s="9">
        <v>343</v>
      </c>
      <c r="H5157" s="5" t="s">
        <v>20</v>
      </c>
      <c r="I5157" s="5" t="s">
        <v>12387</v>
      </c>
      <c r="J5157" s="12" t="str">
        <f>HYPERLINK("https://www.boe.es/gazeta/dias/1804/04/17/pdfs/GMD-1804-31.pdf#page=9","Abrir facsímil")</f>
        <v>Abrir facsímil</v>
      </c>
      <c r="K5157" s="15" t="s">
        <v>22</v>
      </c>
    </row>
    <row r="5158" spans="1:11" ht="42" customHeight="1">
      <c r="A5158" s="4" t="s">
        <v>12388</v>
      </c>
      <c r="B5158" s="5" t="s">
        <v>12389</v>
      </c>
      <c r="C5158" s="5" t="s">
        <v>17</v>
      </c>
      <c r="D5158" s="5" t="s">
        <v>18</v>
      </c>
      <c r="E5158" s="5" t="s">
        <v>54</v>
      </c>
      <c r="F5158" s="9">
        <v>63</v>
      </c>
      <c r="G5158" s="9">
        <v>700</v>
      </c>
      <c r="H5158" s="5" t="s">
        <v>20</v>
      </c>
      <c r="I5158" s="5" t="s">
        <v>12390</v>
      </c>
      <c r="J5158" s="12" t="str">
        <f>HYPERLINK("https://www.boe.es/gazeta/dias/1804/08/07/pdfs/GMD-1804-63.pdf#page=10","Abrir facsímil")</f>
        <v>Abrir facsímil</v>
      </c>
      <c r="K5158" s="15" t="s">
        <v>22</v>
      </c>
    </row>
    <row r="5159" spans="1:11" ht="42" customHeight="1">
      <c r="A5159" s="4" t="s">
        <v>12391</v>
      </c>
      <c r="B5159" s="5" t="s">
        <v>12392</v>
      </c>
      <c r="C5159" s="5" t="s">
        <v>85</v>
      </c>
      <c r="D5159" s="5" t="s">
        <v>86</v>
      </c>
      <c r="E5159" s="5" t="s">
        <v>29</v>
      </c>
      <c r="F5159" s="9">
        <v>88</v>
      </c>
      <c r="G5159" s="9">
        <v>978</v>
      </c>
      <c r="H5159" s="5" t="s">
        <v>20</v>
      </c>
      <c r="I5159" s="5" t="s">
        <v>12393</v>
      </c>
      <c r="J5159" s="12" t="str">
        <f>HYPERLINK("https://www.boe.es/gazeta/dias/1804/11/02/pdfs/GMD-1804-88.pdf#page=10","Abrir facsímil")</f>
        <v>Abrir facsímil</v>
      </c>
      <c r="K5159" s="15" t="s">
        <v>22</v>
      </c>
    </row>
    <row r="5160" spans="1:11" ht="42" customHeight="1">
      <c r="A5160" s="4" t="s">
        <v>12394</v>
      </c>
      <c r="B5160" s="5" t="s">
        <v>12394</v>
      </c>
      <c r="C5160" s="5" t="s">
        <v>198</v>
      </c>
      <c r="D5160" s="5" t="s">
        <v>66</v>
      </c>
      <c r="E5160" s="5" t="s">
        <v>794</v>
      </c>
      <c r="F5160" s="9">
        <v>42</v>
      </c>
      <c r="G5160" s="9">
        <v>472</v>
      </c>
      <c r="H5160" s="5" t="s">
        <v>20</v>
      </c>
      <c r="I5160" s="5" t="s">
        <v>12395</v>
      </c>
      <c r="J5160" s="12" t="str">
        <f>HYPERLINK("https://www.boe.es/gazeta/dias/1804/05/25/pdfs/GMD-1804-42.pdf#page=10","Abrir facsímil")</f>
        <v>Abrir facsímil</v>
      </c>
      <c r="K5160" s="15" t="s">
        <v>22</v>
      </c>
    </row>
    <row r="5161" spans="1:11" ht="42" customHeight="1">
      <c r="A5161" s="4" t="s">
        <v>12396</v>
      </c>
      <c r="B5161" s="5" t="s">
        <v>12397</v>
      </c>
      <c r="C5161" s="5" t="s">
        <v>17</v>
      </c>
      <c r="D5161" s="5" t="s">
        <v>18</v>
      </c>
      <c r="E5161" s="5" t="s">
        <v>33</v>
      </c>
      <c r="F5161" s="9">
        <v>48</v>
      </c>
      <c r="G5161" s="9">
        <v>537</v>
      </c>
      <c r="H5161" s="5" t="s">
        <v>20</v>
      </c>
      <c r="I5161" s="5" t="s">
        <v>12398</v>
      </c>
      <c r="J5161" s="12" t="str">
        <f>HYPERLINK("https://www.boe.es/gazeta/dias/1804/06/15/pdfs/GMD-1804-48.pdf#page=7","Abrir facsímil")</f>
        <v>Abrir facsímil</v>
      </c>
      <c r="K5161" s="15" t="s">
        <v>22</v>
      </c>
    </row>
    <row r="5162" spans="1:11" ht="42" customHeight="1">
      <c r="A5162" s="4" t="s">
        <v>12399</v>
      </c>
      <c r="B5162" s="5" t="s">
        <v>12400</v>
      </c>
      <c r="C5162" s="5" t="s">
        <v>27</v>
      </c>
      <c r="D5162" s="5" t="s">
        <v>28</v>
      </c>
      <c r="E5162" s="5" t="s">
        <v>81</v>
      </c>
      <c r="F5162" s="9">
        <v>98</v>
      </c>
      <c r="G5162" s="9">
        <v>1090</v>
      </c>
      <c r="H5162" s="5" t="s">
        <v>20</v>
      </c>
      <c r="I5162" s="5" t="s">
        <v>12401</v>
      </c>
      <c r="J5162" s="12" t="str">
        <f>HYPERLINK("https://www.boe.es/gazeta/dias/1804/12/07/pdfs/GMD-1804-98.pdf#page=6","Abrir facsímil")</f>
        <v>Abrir facsímil</v>
      </c>
      <c r="K5162" s="15" t="s">
        <v>22</v>
      </c>
    </row>
    <row r="5163" spans="1:11" ht="42" customHeight="1">
      <c r="A5163" s="4" t="s">
        <v>12402</v>
      </c>
      <c r="B5163" s="5" t="s">
        <v>12403</v>
      </c>
      <c r="C5163" s="5" t="s">
        <v>27</v>
      </c>
      <c r="D5163" s="5" t="s">
        <v>28</v>
      </c>
      <c r="E5163" s="5" t="s">
        <v>151</v>
      </c>
      <c r="F5163" s="9">
        <v>13</v>
      </c>
      <c r="G5163" s="9">
        <v>142</v>
      </c>
      <c r="H5163" s="5" t="s">
        <v>20</v>
      </c>
      <c r="I5163" s="5" t="s">
        <v>12404</v>
      </c>
      <c r="J5163" s="12" t="str">
        <f>HYPERLINK("https://www.boe.es/gazeta/dias/1804/02/14/pdfs/GMD-1804-13.pdf#page=6","Abrir facsímil")</f>
        <v>Abrir facsímil</v>
      </c>
      <c r="K5163" s="15" t="s">
        <v>22</v>
      </c>
    </row>
    <row r="5164" spans="1:11" ht="42" customHeight="1">
      <c r="A5164" s="4" t="s">
        <v>12405</v>
      </c>
      <c r="B5164" s="5" t="s">
        <v>12406</v>
      </c>
      <c r="C5164" s="5" t="s">
        <v>27</v>
      </c>
      <c r="D5164" s="5" t="s">
        <v>28</v>
      </c>
      <c r="E5164" s="5" t="s">
        <v>23</v>
      </c>
      <c r="F5164" s="9">
        <v>91</v>
      </c>
      <c r="G5164" s="9">
        <v>1009</v>
      </c>
      <c r="H5164" s="5" t="s">
        <v>20</v>
      </c>
      <c r="I5164" s="5" t="s">
        <v>12407</v>
      </c>
      <c r="J5164" s="12" t="str">
        <f>HYPERLINK("https://www.boe.es/gazeta/dias/1804/11/13/pdfs/GMD-1804-91.pdf#page=9","Abrir facsímil")</f>
        <v>Abrir facsímil</v>
      </c>
      <c r="K5164" s="15" t="s">
        <v>22</v>
      </c>
    </row>
    <row r="5165" spans="1:11" ht="42" customHeight="1">
      <c r="A5165" s="4" t="s">
        <v>12408</v>
      </c>
      <c r="B5165" s="5" t="s">
        <v>12408</v>
      </c>
      <c r="C5165" s="5" t="s">
        <v>198</v>
      </c>
      <c r="D5165" s="5" t="s">
        <v>66</v>
      </c>
      <c r="E5165" s="5" t="s">
        <v>360</v>
      </c>
      <c r="F5165" s="9">
        <v>81</v>
      </c>
      <c r="G5165" s="9">
        <v>893</v>
      </c>
      <c r="H5165" s="5" t="s">
        <v>20</v>
      </c>
      <c r="I5165" s="5" t="s">
        <v>12409</v>
      </c>
      <c r="J5165" s="12" t="str">
        <f>HYPERLINK("https://www.boe.es/gazeta/dias/1804/10/09/pdfs/GMD-1804-81.pdf#page=3","Abrir facsímil")</f>
        <v>Abrir facsímil</v>
      </c>
      <c r="K5165" s="15" t="s">
        <v>22</v>
      </c>
    </row>
    <row r="5166" spans="1:11" ht="42" customHeight="1">
      <c r="A5166" s="4" t="s">
        <v>12410</v>
      </c>
      <c r="B5166" s="5" t="s">
        <v>12411</v>
      </c>
      <c r="C5166" s="5" t="s">
        <v>17</v>
      </c>
      <c r="D5166" s="5" t="s">
        <v>18</v>
      </c>
      <c r="E5166" s="5" t="s">
        <v>794</v>
      </c>
      <c r="F5166" s="9">
        <v>42</v>
      </c>
      <c r="G5166" s="9">
        <v>473</v>
      </c>
      <c r="H5166" s="5" t="s">
        <v>20</v>
      </c>
      <c r="I5166" s="5" t="s">
        <v>12412</v>
      </c>
      <c r="J5166" s="12" t="str">
        <f>HYPERLINK("https://www.boe.es/gazeta/dias/1804/05/25/pdfs/GMD-1804-42.pdf#page=11","Abrir facsímil")</f>
        <v>Abrir facsímil</v>
      </c>
      <c r="K5166" s="15" t="s">
        <v>22</v>
      </c>
    </row>
    <row r="5167" spans="1:11" ht="42" customHeight="1">
      <c r="A5167" s="4" t="s">
        <v>12413</v>
      </c>
      <c r="B5167" s="5" t="s">
        <v>12414</v>
      </c>
      <c r="C5167" s="5" t="s">
        <v>27</v>
      </c>
      <c r="D5167" s="5" t="s">
        <v>28</v>
      </c>
      <c r="E5167" s="5" t="s">
        <v>245</v>
      </c>
      <c r="F5167" s="9">
        <v>6</v>
      </c>
      <c r="G5167" s="9">
        <v>58</v>
      </c>
      <c r="H5167" s="5" t="s">
        <v>20</v>
      </c>
      <c r="I5167" s="5" t="s">
        <v>12415</v>
      </c>
      <c r="J5167" s="12" t="str">
        <f>HYPERLINK("https://www.boe.es/gazeta/dias/1804/01/20/pdfs/GMD-1804-6.pdf#page=10","Abrir facsímil")</f>
        <v>Abrir facsímil</v>
      </c>
      <c r="K5167" s="15" t="s">
        <v>22</v>
      </c>
    </row>
    <row r="5168" spans="1:11" ht="42" customHeight="1">
      <c r="A5168" s="4" t="s">
        <v>12416</v>
      </c>
      <c r="B5168" s="5" t="s">
        <v>12417</v>
      </c>
      <c r="C5168" s="5" t="s">
        <v>17</v>
      </c>
      <c r="D5168" s="5" t="s">
        <v>18</v>
      </c>
      <c r="E5168" s="5" t="s">
        <v>623</v>
      </c>
      <c r="F5168" s="9">
        <v>51</v>
      </c>
      <c r="G5168" s="9">
        <v>562</v>
      </c>
      <c r="H5168" s="5" t="s">
        <v>20</v>
      </c>
      <c r="I5168" s="5" t="s">
        <v>12418</v>
      </c>
      <c r="J5168" s="12" t="str">
        <f>HYPERLINK("https://www.boe.es/gazeta/dias/1804/06/26/pdfs/GMD-1804-51.pdf#page=8","Abrir facsímil")</f>
        <v>Abrir facsímil</v>
      </c>
      <c r="K5168" s="15" t="s">
        <v>22</v>
      </c>
    </row>
    <row r="5169" spans="1:11" ht="42" customHeight="1">
      <c r="A5169" s="4" t="s">
        <v>12419</v>
      </c>
      <c r="B5169" s="5" t="s">
        <v>12420</v>
      </c>
      <c r="C5169" s="5" t="s">
        <v>57</v>
      </c>
      <c r="D5169" s="5" t="s">
        <v>58</v>
      </c>
      <c r="E5169" s="5" t="s">
        <v>147</v>
      </c>
      <c r="F5169" s="9">
        <v>77</v>
      </c>
      <c r="G5169" s="9">
        <v>855</v>
      </c>
      <c r="H5169" s="5" t="s">
        <v>20</v>
      </c>
      <c r="I5169" s="5" t="s">
        <v>12421</v>
      </c>
      <c r="J5169" s="12" t="str">
        <f>HYPERLINK("https://www.boe.es/gazeta/dias/1804/09/25/pdfs/GMD-1804-77.pdf#page=5","Abrir facsímil")</f>
        <v>Abrir facsímil</v>
      </c>
      <c r="K5169" s="15" t="s">
        <v>22</v>
      </c>
    </row>
    <row r="5170" spans="1:11" ht="42" customHeight="1">
      <c r="A5170" s="4" t="s">
        <v>12422</v>
      </c>
      <c r="B5170" s="5" t="s">
        <v>12423</v>
      </c>
      <c r="C5170" s="5" t="s">
        <v>17</v>
      </c>
      <c r="D5170" s="5" t="s">
        <v>18</v>
      </c>
      <c r="E5170" s="5" t="s">
        <v>175</v>
      </c>
      <c r="F5170" s="9">
        <v>58</v>
      </c>
      <c r="G5170" s="9">
        <v>639</v>
      </c>
      <c r="H5170" s="5" t="s">
        <v>20</v>
      </c>
      <c r="I5170" s="5" t="s">
        <v>12424</v>
      </c>
      <c r="J5170" s="12" t="str">
        <f>HYPERLINK("https://www.boe.es/gazeta/dias/1804/07/20/pdfs/GMD-1804-58.pdf#page=5","Abrir facsímil")</f>
        <v>Abrir facsímil</v>
      </c>
      <c r="K5170" s="15" t="s">
        <v>22</v>
      </c>
    </row>
    <row r="5171" spans="1:11" ht="42" customHeight="1">
      <c r="A5171" s="4" t="s">
        <v>12422</v>
      </c>
      <c r="B5171" s="5" t="s">
        <v>12423</v>
      </c>
      <c r="C5171" s="5" t="s">
        <v>27</v>
      </c>
      <c r="D5171" s="5" t="s">
        <v>28</v>
      </c>
      <c r="E5171" s="5" t="s">
        <v>147</v>
      </c>
      <c r="F5171" s="9">
        <v>77</v>
      </c>
      <c r="G5171" s="9">
        <v>854</v>
      </c>
      <c r="H5171" s="5" t="s">
        <v>20</v>
      </c>
      <c r="I5171" s="5" t="s">
        <v>12425</v>
      </c>
      <c r="J5171" s="12" t="str">
        <f>HYPERLINK("https://www.boe.es/gazeta/dias/1804/09/25/pdfs/GMD-1804-77.pdf#page=4","Abrir facsímil")</f>
        <v>Abrir facsímil</v>
      </c>
      <c r="K5171" s="15" t="s">
        <v>22</v>
      </c>
    </row>
    <row r="5172" spans="1:11" ht="42" customHeight="1">
      <c r="A5172" s="4" t="s">
        <v>12422</v>
      </c>
      <c r="B5172" s="5" t="s">
        <v>12423</v>
      </c>
      <c r="C5172" s="5" t="s">
        <v>57</v>
      </c>
      <c r="D5172" s="5" t="s">
        <v>58</v>
      </c>
      <c r="E5172" s="5" t="s">
        <v>147</v>
      </c>
      <c r="F5172" s="9">
        <v>77</v>
      </c>
      <c r="G5172" s="9">
        <v>855</v>
      </c>
      <c r="H5172" s="5" t="s">
        <v>20</v>
      </c>
      <c r="I5172" s="5" t="s">
        <v>12426</v>
      </c>
      <c r="J5172" s="12" t="str">
        <f>HYPERLINK("https://www.boe.es/gazeta/dias/1804/09/25/pdfs/GMD-1804-77.pdf#page=5","Abrir facsímil")</f>
        <v>Abrir facsímil</v>
      </c>
      <c r="K5172" s="15" t="s">
        <v>22</v>
      </c>
    </row>
    <row r="5173" spans="1:11" ht="42" customHeight="1">
      <c r="A5173" s="4" t="s">
        <v>12422</v>
      </c>
      <c r="B5173" s="5" t="s">
        <v>12423</v>
      </c>
      <c r="C5173" s="5" t="s">
        <v>57</v>
      </c>
      <c r="D5173" s="5" t="s">
        <v>58</v>
      </c>
      <c r="E5173" s="5" t="s">
        <v>50</v>
      </c>
      <c r="F5173" s="9">
        <v>93</v>
      </c>
      <c r="G5173" s="9">
        <v>1028</v>
      </c>
      <c r="H5173" s="5" t="s">
        <v>20</v>
      </c>
      <c r="I5173" s="5" t="s">
        <v>12427</v>
      </c>
      <c r="J5173" s="12" t="str">
        <f>HYPERLINK("https://www.boe.es/gazeta/dias/1804/11/20/pdfs/GMD-1804-93.pdf#page=4","Abrir facsímil")</f>
        <v>Abrir facsímil</v>
      </c>
      <c r="K5173" s="15" t="s">
        <v>22</v>
      </c>
    </row>
    <row r="5174" spans="1:11" ht="42" customHeight="1">
      <c r="A5174" s="4" t="s">
        <v>12422</v>
      </c>
      <c r="B5174" s="5" t="s">
        <v>12423</v>
      </c>
      <c r="C5174" s="5" t="s">
        <v>57</v>
      </c>
      <c r="D5174" s="5" t="s">
        <v>58</v>
      </c>
      <c r="E5174" s="5" t="s">
        <v>50</v>
      </c>
      <c r="F5174" s="9">
        <v>93</v>
      </c>
      <c r="G5174" s="9">
        <v>1029</v>
      </c>
      <c r="H5174" s="5" t="s">
        <v>20</v>
      </c>
      <c r="I5174" s="5" t="s">
        <v>12428</v>
      </c>
      <c r="J5174" s="12" t="str">
        <f>HYPERLINK("https://www.boe.es/gazeta/dias/1804/11/20/pdfs/GMD-1804-93.pdf#page=5","Abrir facsímil")</f>
        <v>Abrir facsímil</v>
      </c>
      <c r="K5174" s="15" t="s">
        <v>22</v>
      </c>
    </row>
    <row r="5175" spans="1:11" ht="42" customHeight="1">
      <c r="A5175" s="4" t="s">
        <v>12429</v>
      </c>
      <c r="B5175" s="5" t="s">
        <v>12430</v>
      </c>
      <c r="C5175" s="5" t="s">
        <v>57</v>
      </c>
      <c r="D5175" s="5" t="s">
        <v>58</v>
      </c>
      <c r="E5175" s="5" t="s">
        <v>37</v>
      </c>
      <c r="F5175" s="9">
        <v>29</v>
      </c>
      <c r="G5175" s="9">
        <v>315</v>
      </c>
      <c r="H5175" s="5" t="s">
        <v>20</v>
      </c>
      <c r="I5175" s="5" t="s">
        <v>12431</v>
      </c>
      <c r="J5175" s="12" t="str">
        <f>HYPERLINK("https://www.boe.es/gazeta/dias/1804/04/10/pdfs/GMD-1804-29.pdf#page=5","Abrir facsímil")</f>
        <v>Abrir facsímil</v>
      </c>
      <c r="K5175" s="15" t="s">
        <v>22</v>
      </c>
    </row>
    <row r="5176" spans="1:11" ht="42" customHeight="1">
      <c r="A5176" s="4" t="s">
        <v>12429</v>
      </c>
      <c r="B5176" s="5" t="s">
        <v>12430</v>
      </c>
      <c r="C5176" s="5" t="s">
        <v>57</v>
      </c>
      <c r="D5176" s="5" t="s">
        <v>58</v>
      </c>
      <c r="E5176" s="5" t="s">
        <v>37</v>
      </c>
      <c r="F5176" s="9">
        <v>29</v>
      </c>
      <c r="G5176" s="9">
        <v>316</v>
      </c>
      <c r="H5176" s="5" t="s">
        <v>20</v>
      </c>
      <c r="I5176" s="5" t="s">
        <v>12432</v>
      </c>
      <c r="J5176" s="12" t="str">
        <f>HYPERLINK("https://www.boe.es/gazeta/dias/1804/04/10/pdfs/GMD-1804-29.pdf#page=6","Abrir facsímil")</f>
        <v>Abrir facsímil</v>
      </c>
      <c r="K5176" s="15" t="s">
        <v>22</v>
      </c>
    </row>
    <row r="5177" spans="1:11" ht="42" customHeight="1">
      <c r="A5177" s="4" t="s">
        <v>12433</v>
      </c>
      <c r="B5177" s="5" t="s">
        <v>12434</v>
      </c>
      <c r="C5177" s="5" t="s">
        <v>17</v>
      </c>
      <c r="D5177" s="5" t="s">
        <v>18</v>
      </c>
      <c r="E5177" s="5" t="s">
        <v>367</v>
      </c>
      <c r="F5177" s="9">
        <v>64</v>
      </c>
      <c r="G5177" s="9">
        <v>713</v>
      </c>
      <c r="H5177" s="5" t="s">
        <v>20</v>
      </c>
      <c r="I5177" s="5" t="s">
        <v>12435</v>
      </c>
      <c r="J5177" s="12" t="str">
        <f>HYPERLINK("https://www.boe.es/gazeta/dias/1804/08/10/pdfs/GMD-1804-64.pdf#page=7","Abrir facsímil")</f>
        <v>Abrir facsímil</v>
      </c>
      <c r="K5177" s="15" t="s">
        <v>22</v>
      </c>
    </row>
    <row r="5178" spans="1:11" ht="42" customHeight="1">
      <c r="A5178" s="4" t="s">
        <v>12436</v>
      </c>
      <c r="B5178" s="5" t="s">
        <v>12437</v>
      </c>
      <c r="C5178" s="5" t="s">
        <v>17</v>
      </c>
      <c r="D5178" s="5" t="s">
        <v>18</v>
      </c>
      <c r="E5178" s="5" t="s">
        <v>800</v>
      </c>
      <c r="F5178" s="9">
        <v>45</v>
      </c>
      <c r="G5178" s="9">
        <v>500</v>
      </c>
      <c r="H5178" s="5" t="s">
        <v>20</v>
      </c>
      <c r="I5178" s="5" t="s">
        <v>12438</v>
      </c>
      <c r="J5178" s="12" t="str">
        <f>HYPERLINK("https://www.boe.es/gazeta/dias/1804/06/05/pdfs/GMD-1804-45.pdf#page=10","Abrir facsímil")</f>
        <v>Abrir facsímil</v>
      </c>
      <c r="K5178" s="15" t="s">
        <v>22</v>
      </c>
    </row>
    <row r="5179" spans="1:11" ht="42" customHeight="1">
      <c r="A5179" s="4" t="s">
        <v>12439</v>
      </c>
      <c r="B5179" s="5" t="s">
        <v>12440</v>
      </c>
      <c r="C5179" s="5" t="s">
        <v>85</v>
      </c>
      <c r="D5179" s="5" t="s">
        <v>86</v>
      </c>
      <c r="E5179" s="5" t="s">
        <v>302</v>
      </c>
      <c r="F5179" s="9">
        <v>3</v>
      </c>
      <c r="G5179" s="9">
        <v>26</v>
      </c>
      <c r="H5179" s="5" t="s">
        <v>20</v>
      </c>
      <c r="I5179" s="5" t="s">
        <v>12441</v>
      </c>
      <c r="J5179" s="12" t="str">
        <f>HYPERLINK("https://www.boe.es/gazeta/dias/1804/01/10/pdfs/GMD-1804-3.pdf#page=6","Abrir facsímil")</f>
        <v>Abrir facsímil</v>
      </c>
      <c r="K5179" s="15" t="s">
        <v>22</v>
      </c>
    </row>
    <row r="5180" spans="1:11" ht="42" customHeight="1">
      <c r="A5180" s="4" t="s">
        <v>12439</v>
      </c>
      <c r="B5180" s="5" t="s">
        <v>12440</v>
      </c>
      <c r="C5180" s="5" t="s">
        <v>57</v>
      </c>
      <c r="D5180" s="5" t="s">
        <v>58</v>
      </c>
      <c r="E5180" s="5" t="s">
        <v>182</v>
      </c>
      <c r="F5180" s="9">
        <v>21</v>
      </c>
      <c r="G5180" s="9">
        <v>229</v>
      </c>
      <c r="H5180" s="5" t="s">
        <v>20</v>
      </c>
      <c r="I5180" s="5" t="s">
        <v>12442</v>
      </c>
      <c r="J5180" s="12" t="str">
        <f>HYPERLINK("https://www.boe.es/gazeta/dias/1804/03/13/pdfs/GMD-1804-21.pdf#page=5","Abrir facsímil")</f>
        <v>Abrir facsímil</v>
      </c>
      <c r="K5180" s="15" t="s">
        <v>22</v>
      </c>
    </row>
    <row r="5181" spans="1:11" ht="42" customHeight="1">
      <c r="A5181" s="4" t="s">
        <v>12439</v>
      </c>
      <c r="B5181" s="5" t="s">
        <v>12440</v>
      </c>
      <c r="C5181" s="5" t="s">
        <v>57</v>
      </c>
      <c r="D5181" s="5" t="s">
        <v>58</v>
      </c>
      <c r="E5181" s="5" t="s">
        <v>37</v>
      </c>
      <c r="F5181" s="9">
        <v>29</v>
      </c>
      <c r="G5181" s="9">
        <v>314</v>
      </c>
      <c r="H5181" s="5" t="s">
        <v>20</v>
      </c>
      <c r="I5181" s="5" t="s">
        <v>12443</v>
      </c>
      <c r="J5181" s="12" t="str">
        <f>HYPERLINK("https://www.boe.es/gazeta/dias/1804/04/10/pdfs/GMD-1804-29.pdf#page=4","Abrir facsímil")</f>
        <v>Abrir facsímil</v>
      </c>
      <c r="K5181" s="15" t="s">
        <v>22</v>
      </c>
    </row>
    <row r="5182" spans="1:11" ht="42" customHeight="1">
      <c r="A5182" s="4" t="s">
        <v>12444</v>
      </c>
      <c r="B5182" s="5" t="s">
        <v>12445</v>
      </c>
      <c r="C5182" s="5" t="s">
        <v>27</v>
      </c>
      <c r="D5182" s="5" t="s">
        <v>28</v>
      </c>
      <c r="E5182" s="5" t="s">
        <v>140</v>
      </c>
      <c r="F5182" s="9">
        <v>39</v>
      </c>
      <c r="G5182" s="9">
        <v>436</v>
      </c>
      <c r="H5182" s="5" t="s">
        <v>20</v>
      </c>
      <c r="I5182" s="5" t="s">
        <v>12446</v>
      </c>
      <c r="J5182" s="12" t="str">
        <f>HYPERLINK("https://www.boe.es/gazeta/dias/1804/05/15/pdfs/GMD-1804-39.pdf#page=10","Abrir facsímil")</f>
        <v>Abrir facsímil</v>
      </c>
      <c r="K5182" s="15" t="s">
        <v>22</v>
      </c>
    </row>
    <row r="5183" spans="1:11" ht="42" customHeight="1">
      <c r="A5183" s="4" t="s">
        <v>12447</v>
      </c>
      <c r="B5183" s="5" t="s">
        <v>12448</v>
      </c>
      <c r="C5183" s="5" t="s">
        <v>27</v>
      </c>
      <c r="D5183" s="5" t="s">
        <v>28</v>
      </c>
      <c r="E5183" s="5" t="s">
        <v>421</v>
      </c>
      <c r="F5183" s="9">
        <v>47</v>
      </c>
      <c r="G5183" s="9">
        <v>528</v>
      </c>
      <c r="H5183" s="5" t="s">
        <v>20</v>
      </c>
      <c r="I5183" s="5" t="s">
        <v>12449</v>
      </c>
      <c r="J5183" s="12" t="str">
        <f>HYPERLINK("https://www.boe.es/gazeta/dias/1804/06/12/pdfs/GMD-1804-47.pdf#page=10","Abrir facsímil")</f>
        <v>Abrir facsímil</v>
      </c>
      <c r="K5183" s="15" t="s">
        <v>22</v>
      </c>
    </row>
    <row r="5184" spans="1:11" ht="42" customHeight="1">
      <c r="A5184" s="4" t="s">
        <v>12450</v>
      </c>
      <c r="B5184" s="5" t="s">
        <v>12451</v>
      </c>
      <c r="C5184" s="5" t="s">
        <v>17</v>
      </c>
      <c r="D5184" s="5" t="s">
        <v>18</v>
      </c>
      <c r="E5184" s="5" t="s">
        <v>234</v>
      </c>
      <c r="F5184" s="9">
        <v>86</v>
      </c>
      <c r="G5184" s="9">
        <v>945</v>
      </c>
      <c r="H5184" s="5" t="s">
        <v>20</v>
      </c>
      <c r="I5184" s="5" t="s">
        <v>12452</v>
      </c>
      <c r="J5184" s="12" t="str">
        <f>HYPERLINK("https://www.boe.es/gazeta/dias/1804/10/26/pdfs/GMD-1804-86.pdf#page=3","Abrir facsímil")</f>
        <v>Abrir facsímil</v>
      </c>
      <c r="K5184" s="15" t="s">
        <v>22</v>
      </c>
    </row>
    <row r="5185" spans="1:11" ht="42" customHeight="1">
      <c r="A5185" s="4" t="s">
        <v>12453</v>
      </c>
      <c r="B5185" s="5" t="s">
        <v>12454</v>
      </c>
      <c r="C5185" s="5" t="s">
        <v>27</v>
      </c>
      <c r="D5185" s="5" t="s">
        <v>28</v>
      </c>
      <c r="E5185" s="5" t="s">
        <v>191</v>
      </c>
      <c r="F5185" s="9">
        <v>101</v>
      </c>
      <c r="G5185" s="9">
        <v>1129</v>
      </c>
      <c r="H5185" s="5" t="s">
        <v>20</v>
      </c>
      <c r="I5185" s="5" t="s">
        <v>12455</v>
      </c>
      <c r="J5185" s="12" t="str">
        <f>HYPERLINK("https://www.boe.es/gazeta/dias/1804/12/18/pdfs/GMD-1804-101.pdf#page=9","Abrir facsímil")</f>
        <v>Abrir facsímil</v>
      </c>
      <c r="K5185" s="15" t="s">
        <v>22</v>
      </c>
    </row>
    <row r="5186" spans="1:11" ht="42" customHeight="1">
      <c r="A5186" s="4" t="s">
        <v>12456</v>
      </c>
      <c r="B5186" s="5" t="s">
        <v>12457</v>
      </c>
      <c r="C5186" s="5" t="s">
        <v>17</v>
      </c>
      <c r="D5186" s="5" t="s">
        <v>18</v>
      </c>
      <c r="E5186" s="5" t="s">
        <v>37</v>
      </c>
      <c r="F5186" s="9">
        <v>29</v>
      </c>
      <c r="G5186" s="9">
        <v>318</v>
      </c>
      <c r="H5186" s="5" t="s">
        <v>20</v>
      </c>
      <c r="I5186" s="5" t="s">
        <v>12458</v>
      </c>
      <c r="J5186" s="12" t="str">
        <f>HYPERLINK("https://www.boe.es/gazeta/dias/1804/04/10/pdfs/GMD-1804-29.pdf#page=8","Abrir facsímil")</f>
        <v>Abrir facsímil</v>
      </c>
      <c r="K5186" s="15" t="s">
        <v>22</v>
      </c>
    </row>
    <row r="5187" spans="1:11" ht="42" customHeight="1">
      <c r="A5187" s="4" t="s">
        <v>12459</v>
      </c>
      <c r="B5187" s="5" t="s">
        <v>12459</v>
      </c>
      <c r="C5187" s="5" t="s">
        <v>65</v>
      </c>
      <c r="D5187" s="5" t="s">
        <v>66</v>
      </c>
      <c r="E5187" s="5" t="s">
        <v>251</v>
      </c>
      <c r="F5187" s="9">
        <v>79</v>
      </c>
      <c r="G5187" s="9">
        <v>878</v>
      </c>
      <c r="H5187" s="5" t="s">
        <v>20</v>
      </c>
      <c r="I5187" s="5" t="s">
        <v>12460</v>
      </c>
      <c r="J5187" s="12" t="str">
        <f>HYPERLINK("https://www.boe.es/gazeta/dias/1804/10/02/pdfs/GMD-1804-79.pdf#page=8","Abrir facsímil")</f>
        <v>Abrir facsímil</v>
      </c>
      <c r="K5187" s="15" t="s">
        <v>22</v>
      </c>
    </row>
    <row r="5188" spans="1:11" ht="42" customHeight="1">
      <c r="A5188" s="4" t="s">
        <v>12461</v>
      </c>
      <c r="B5188" s="5" t="s">
        <v>12461</v>
      </c>
      <c r="C5188" s="5" t="s">
        <v>27</v>
      </c>
      <c r="D5188" s="5" t="s">
        <v>28</v>
      </c>
      <c r="E5188" s="5" t="s">
        <v>1095</v>
      </c>
      <c r="F5188" s="9">
        <v>73</v>
      </c>
      <c r="G5188" s="9">
        <v>818</v>
      </c>
      <c r="H5188" s="5" t="s">
        <v>20</v>
      </c>
      <c r="I5188" s="5" t="s">
        <v>12462</v>
      </c>
      <c r="J5188" s="12" t="str">
        <f>HYPERLINK("https://www.boe.es/gazeta/dias/1804/09/11/pdfs/GMD-1804-73.pdf#page=8","Abrir facsímil")</f>
        <v>Abrir facsímil</v>
      </c>
      <c r="K5188" s="15" t="s">
        <v>22</v>
      </c>
    </row>
    <row r="5189" spans="1:11" ht="42" customHeight="1">
      <c r="A5189" s="4" t="s">
        <v>12463</v>
      </c>
      <c r="B5189" s="5" t="s">
        <v>12463</v>
      </c>
      <c r="C5189" s="5" t="s">
        <v>27</v>
      </c>
      <c r="D5189" s="5" t="s">
        <v>28</v>
      </c>
      <c r="E5189" s="5" t="s">
        <v>91</v>
      </c>
      <c r="F5189" s="9">
        <v>72</v>
      </c>
      <c r="G5189" s="9">
        <v>805</v>
      </c>
      <c r="H5189" s="5" t="s">
        <v>20</v>
      </c>
      <c r="I5189" s="5" t="s">
        <v>12464</v>
      </c>
      <c r="J5189" s="12" t="str">
        <f>HYPERLINK("https://www.boe.es/gazeta/dias/1804/09/07/pdfs/GMD-1804-72.pdf#page=7","Abrir facsímil")</f>
        <v>Abrir facsímil</v>
      </c>
      <c r="K5189" s="15" t="s">
        <v>22</v>
      </c>
    </row>
    <row r="5190" spans="1:11" ht="42" customHeight="1">
      <c r="A5190" s="4" t="s">
        <v>12465</v>
      </c>
      <c r="B5190" s="5" t="s">
        <v>12465</v>
      </c>
      <c r="C5190" s="5" t="s">
        <v>65</v>
      </c>
      <c r="D5190" s="5" t="s">
        <v>66</v>
      </c>
      <c r="E5190" s="5" t="s">
        <v>326</v>
      </c>
      <c r="F5190" s="9">
        <v>69</v>
      </c>
      <c r="G5190" s="9">
        <v>775</v>
      </c>
      <c r="H5190" s="5" t="s">
        <v>20</v>
      </c>
      <c r="I5190" s="5" t="s">
        <v>12466</v>
      </c>
      <c r="J5190" s="12" t="str">
        <f>HYPERLINK("https://www.boe.es/gazeta/dias/1804/08/28/pdfs/GMD-1804-69.pdf#page=9","Abrir facsímil")</f>
        <v>Abrir facsímil</v>
      </c>
      <c r="K5190" s="15" t="s">
        <v>22</v>
      </c>
    </row>
    <row r="5191" spans="1:11" ht="42" customHeight="1">
      <c r="A5191" s="4" t="s">
        <v>12467</v>
      </c>
      <c r="B5191" s="5" t="s">
        <v>12468</v>
      </c>
      <c r="C5191" s="5" t="s">
        <v>27</v>
      </c>
      <c r="D5191" s="5" t="s">
        <v>28</v>
      </c>
      <c r="E5191" s="5" t="s">
        <v>623</v>
      </c>
      <c r="F5191" s="9">
        <v>51</v>
      </c>
      <c r="G5191" s="9">
        <v>562</v>
      </c>
      <c r="H5191" s="5" t="s">
        <v>20</v>
      </c>
      <c r="I5191" s="5" t="s">
        <v>12469</v>
      </c>
      <c r="J5191" s="12" t="str">
        <f>HYPERLINK("https://www.boe.es/gazeta/dias/1804/06/26/pdfs/GMD-1804-51.pdf#page=8","Abrir facsímil")</f>
        <v>Abrir facsímil</v>
      </c>
      <c r="K5191" s="15" t="s">
        <v>22</v>
      </c>
    </row>
    <row r="5192" spans="1:11" ht="42" customHeight="1">
      <c r="A5192" s="4" t="s">
        <v>12470</v>
      </c>
      <c r="B5192" s="5" t="s">
        <v>12470</v>
      </c>
      <c r="C5192" s="5" t="s">
        <v>27</v>
      </c>
      <c r="D5192" s="5" t="s">
        <v>28</v>
      </c>
      <c r="E5192" s="5" t="s">
        <v>484</v>
      </c>
      <c r="F5192" s="9">
        <v>53</v>
      </c>
      <c r="G5192" s="9">
        <v>591</v>
      </c>
      <c r="H5192" s="5" t="s">
        <v>20</v>
      </c>
      <c r="I5192" s="5" t="s">
        <v>12471</v>
      </c>
      <c r="J5192" s="12" t="str">
        <f>HYPERLINK("https://www.boe.es/gazeta/dias/1804/07/03/pdfs/GMD-1804-53.pdf#page=9","Abrir facsímil")</f>
        <v>Abrir facsímil</v>
      </c>
      <c r="K5192" s="15" t="s">
        <v>22</v>
      </c>
    </row>
    <row r="5193" spans="1:11" ht="42" customHeight="1">
      <c r="A5193" s="4" t="s">
        <v>12472</v>
      </c>
      <c r="B5193" s="5" t="s">
        <v>12472</v>
      </c>
      <c r="C5193" s="5" t="s">
        <v>17</v>
      </c>
      <c r="D5193" s="5" t="s">
        <v>18</v>
      </c>
      <c r="E5193" s="5" t="s">
        <v>71</v>
      </c>
      <c r="F5193" s="9">
        <v>99</v>
      </c>
      <c r="G5193" s="9">
        <v>1106</v>
      </c>
      <c r="H5193" s="5" t="s">
        <v>20</v>
      </c>
      <c r="I5193" s="5" t="s">
        <v>12473</v>
      </c>
      <c r="J5193" s="12" t="str">
        <f>HYPERLINK("https://www.boe.es/gazeta/dias/1804/12/11/pdfs/GMD-1804-99.pdf#page=6","Abrir facsímil")</f>
        <v>Abrir facsímil</v>
      </c>
      <c r="K5193" s="15" t="s">
        <v>22</v>
      </c>
    </row>
    <row r="5194" spans="1:11" ht="42" customHeight="1">
      <c r="A5194" s="4" t="s">
        <v>12474</v>
      </c>
      <c r="B5194" s="5" t="s">
        <v>12474</v>
      </c>
      <c r="C5194" s="5" t="s">
        <v>27</v>
      </c>
      <c r="D5194" s="5" t="s">
        <v>28</v>
      </c>
      <c r="E5194" s="5" t="s">
        <v>191</v>
      </c>
      <c r="F5194" s="9">
        <v>101</v>
      </c>
      <c r="G5194" s="9">
        <v>1129</v>
      </c>
      <c r="H5194" s="5" t="s">
        <v>20</v>
      </c>
      <c r="I5194" s="5" t="s">
        <v>12475</v>
      </c>
      <c r="J5194" s="12" t="str">
        <f>HYPERLINK("https://www.boe.es/gazeta/dias/1804/12/18/pdfs/GMD-1804-101.pdf#page=9","Abrir facsímil")</f>
        <v>Abrir facsímil</v>
      </c>
      <c r="K5194" s="15" t="s">
        <v>22</v>
      </c>
    </row>
    <row r="5195" spans="1:11" ht="42" customHeight="1">
      <c r="A5195" s="4" t="s">
        <v>12476</v>
      </c>
      <c r="B5195" s="5" t="s">
        <v>12477</v>
      </c>
      <c r="C5195" s="5" t="s">
        <v>17</v>
      </c>
      <c r="D5195" s="5" t="s">
        <v>18</v>
      </c>
      <c r="E5195" s="5" t="s">
        <v>272</v>
      </c>
      <c r="F5195" s="9">
        <v>30</v>
      </c>
      <c r="G5195" s="9">
        <v>330</v>
      </c>
      <c r="H5195" s="5" t="s">
        <v>20</v>
      </c>
      <c r="I5195" s="5" t="s">
        <v>12478</v>
      </c>
      <c r="J5195" s="12" t="str">
        <f>HYPERLINK("https://www.boe.es/gazeta/dias/1804/04/13/pdfs/GMD-1804-30.pdf#page=8","Abrir facsímil")</f>
        <v>Abrir facsímil</v>
      </c>
      <c r="K5195" s="15" t="s">
        <v>22</v>
      </c>
    </row>
    <row r="5196" spans="1:11" ht="42" customHeight="1">
      <c r="A5196" s="4" t="s">
        <v>12479</v>
      </c>
      <c r="B5196" s="5" t="s">
        <v>12480</v>
      </c>
      <c r="C5196" s="5" t="s">
        <v>65</v>
      </c>
      <c r="D5196" s="5" t="s">
        <v>66</v>
      </c>
      <c r="E5196" s="5" t="s">
        <v>140</v>
      </c>
      <c r="F5196" s="9">
        <v>39</v>
      </c>
      <c r="G5196" s="9">
        <v>435</v>
      </c>
      <c r="H5196" s="5" t="s">
        <v>20</v>
      </c>
      <c r="I5196" s="5" t="s">
        <v>12481</v>
      </c>
      <c r="J5196" s="12" t="str">
        <f>HYPERLINK("https://www.boe.es/gazeta/dias/1804/05/15/pdfs/GMD-1804-39.pdf#page=9","Abrir facsímil")</f>
        <v>Abrir facsímil</v>
      </c>
      <c r="K5196" s="15" t="s">
        <v>22</v>
      </c>
    </row>
    <row r="5197" spans="1:11" ht="42" customHeight="1">
      <c r="A5197" s="4" t="s">
        <v>12482</v>
      </c>
      <c r="B5197" s="5" t="s">
        <v>12483</v>
      </c>
      <c r="C5197" s="5" t="s">
        <v>17</v>
      </c>
      <c r="D5197" s="5" t="s">
        <v>18</v>
      </c>
      <c r="E5197" s="5" t="s">
        <v>172</v>
      </c>
      <c r="F5197" s="9">
        <v>38</v>
      </c>
      <c r="G5197" s="9">
        <v>423</v>
      </c>
      <c r="H5197" s="5" t="s">
        <v>20</v>
      </c>
      <c r="I5197" s="5" t="s">
        <v>12484</v>
      </c>
      <c r="J5197" s="12" t="str">
        <f>HYPERLINK("https://www.boe.es/gazeta/dias/1804/05/11/pdfs/GMD-1804-38.pdf#page=9","Abrir facsímil")</f>
        <v>Abrir facsímil</v>
      </c>
      <c r="K5197" s="15" t="s">
        <v>22</v>
      </c>
    </row>
    <row r="5198" spans="1:11" ht="42" customHeight="1">
      <c r="A5198" s="4" t="s">
        <v>12485</v>
      </c>
      <c r="B5198" s="5" t="s">
        <v>12486</v>
      </c>
      <c r="C5198" s="5" t="s">
        <v>27</v>
      </c>
      <c r="D5198" s="5" t="s">
        <v>28</v>
      </c>
      <c r="E5198" s="5" t="s">
        <v>67</v>
      </c>
      <c r="F5198" s="9">
        <v>59</v>
      </c>
      <c r="G5198" s="9">
        <v>652</v>
      </c>
      <c r="H5198" s="5" t="s">
        <v>20</v>
      </c>
      <c r="I5198" s="5" t="s">
        <v>12487</v>
      </c>
      <c r="J5198" s="12" t="str">
        <f>HYPERLINK("https://www.boe.es/gazeta/dias/1804/07/24/pdfs/GMD-1804-59.pdf#page=6","Abrir facsímil")</f>
        <v>Abrir facsímil</v>
      </c>
      <c r="K5198" s="15" t="s">
        <v>22</v>
      </c>
    </row>
    <row r="5199" spans="1:11" ht="42" customHeight="1">
      <c r="A5199" s="4" t="s">
        <v>12488</v>
      </c>
      <c r="B5199" s="5" t="s">
        <v>12489</v>
      </c>
      <c r="C5199" s="5" t="s">
        <v>27</v>
      </c>
      <c r="D5199" s="5" t="s">
        <v>28</v>
      </c>
      <c r="E5199" s="5" t="s">
        <v>245</v>
      </c>
      <c r="F5199" s="9">
        <v>6</v>
      </c>
      <c r="G5199" s="9">
        <v>58</v>
      </c>
      <c r="H5199" s="5" t="s">
        <v>20</v>
      </c>
      <c r="I5199" s="5" t="s">
        <v>12490</v>
      </c>
      <c r="J5199" s="12" t="str">
        <f>HYPERLINK("https://www.boe.es/gazeta/dias/1804/01/20/pdfs/GMD-1804-6.pdf#page=10","Abrir facsímil")</f>
        <v>Abrir facsímil</v>
      </c>
      <c r="K5199" s="15" t="s">
        <v>22</v>
      </c>
    </row>
    <row r="5200" spans="1:11" ht="42" customHeight="1">
      <c r="A5200" s="4" t="s">
        <v>12491</v>
      </c>
      <c r="B5200" s="5" t="s">
        <v>12492</v>
      </c>
      <c r="C5200" s="5" t="s">
        <v>27</v>
      </c>
      <c r="D5200" s="5" t="s">
        <v>28</v>
      </c>
      <c r="E5200" s="5" t="s">
        <v>151</v>
      </c>
      <c r="F5200" s="9">
        <v>13</v>
      </c>
      <c r="G5200" s="9">
        <v>142</v>
      </c>
      <c r="H5200" s="5" t="s">
        <v>20</v>
      </c>
      <c r="I5200" s="5" t="s">
        <v>12493</v>
      </c>
      <c r="J5200" s="12" t="str">
        <f>HYPERLINK("https://www.boe.es/gazeta/dias/1804/02/14/pdfs/GMD-1804-13.pdf#page=6","Abrir facsímil")</f>
        <v>Abrir facsímil</v>
      </c>
      <c r="K5200" s="15" t="s">
        <v>22</v>
      </c>
    </row>
    <row r="5201" spans="1:11" ht="42" customHeight="1">
      <c r="A5201" s="4" t="s">
        <v>12494</v>
      </c>
      <c r="B5201" s="5" t="s">
        <v>12495</v>
      </c>
      <c r="C5201" s="5" t="s">
        <v>27</v>
      </c>
      <c r="D5201" s="5" t="s">
        <v>28</v>
      </c>
      <c r="E5201" s="5" t="s">
        <v>576</v>
      </c>
      <c r="F5201" s="9">
        <v>85</v>
      </c>
      <c r="G5201" s="9">
        <v>940</v>
      </c>
      <c r="H5201" s="5" t="s">
        <v>20</v>
      </c>
      <c r="I5201" s="5" t="s">
        <v>12496</v>
      </c>
      <c r="J5201" s="12" t="str">
        <f>HYPERLINK("https://www.boe.es/gazeta/dias/1804/10/23/pdfs/GMD-1804-85.pdf#page=10","Abrir facsímil")</f>
        <v>Abrir facsímil</v>
      </c>
      <c r="K5201" s="15" t="s">
        <v>22</v>
      </c>
    </row>
    <row r="5202" spans="1:11" ht="42" customHeight="1">
      <c r="A5202" s="4" t="s">
        <v>12497</v>
      </c>
      <c r="B5202" s="5" t="s">
        <v>12498</v>
      </c>
      <c r="C5202" s="5" t="s">
        <v>17</v>
      </c>
      <c r="D5202" s="5" t="s">
        <v>18</v>
      </c>
      <c r="E5202" s="5" t="s">
        <v>47</v>
      </c>
      <c r="F5202" s="9">
        <v>78</v>
      </c>
      <c r="G5202" s="9">
        <v>868</v>
      </c>
      <c r="H5202" s="5" t="s">
        <v>20</v>
      </c>
      <c r="I5202" s="5" t="s">
        <v>12499</v>
      </c>
      <c r="J5202" s="12" t="str">
        <f>HYPERLINK("https://www.boe.es/gazeta/dias/1804/09/28/pdfs/GMD-1804-78.pdf#page=6","Abrir facsímil")</f>
        <v>Abrir facsímil</v>
      </c>
      <c r="K5202" s="15" t="s">
        <v>22</v>
      </c>
    </row>
    <row r="5203" spans="1:11" ht="42" customHeight="1">
      <c r="A5203" s="4" t="s">
        <v>12500</v>
      </c>
      <c r="B5203" s="5" t="s">
        <v>12501</v>
      </c>
      <c r="C5203" s="5" t="s">
        <v>27</v>
      </c>
      <c r="D5203" s="5" t="s">
        <v>28</v>
      </c>
      <c r="E5203" s="5" t="s">
        <v>191</v>
      </c>
      <c r="F5203" s="9">
        <v>101</v>
      </c>
      <c r="G5203" s="9">
        <v>1128</v>
      </c>
      <c r="H5203" s="5" t="s">
        <v>20</v>
      </c>
      <c r="I5203" s="5" t="s">
        <v>12502</v>
      </c>
      <c r="J5203" s="12" t="str">
        <f>HYPERLINK("https://www.boe.es/gazeta/dias/1804/12/18/pdfs/GMD-1804-101.pdf#page=8","Abrir facsímil")</f>
        <v>Abrir facsímil</v>
      </c>
      <c r="K5203" s="15" t="s">
        <v>22</v>
      </c>
    </row>
    <row r="5204" spans="1:11" ht="42" customHeight="1">
      <c r="A5204" s="4" t="s">
        <v>12503</v>
      </c>
      <c r="B5204" s="5" t="s">
        <v>12504</v>
      </c>
      <c r="C5204" s="5" t="s">
        <v>27</v>
      </c>
      <c r="D5204" s="5" t="s">
        <v>28</v>
      </c>
      <c r="E5204" s="5" t="s">
        <v>54</v>
      </c>
      <c r="F5204" s="9">
        <v>63</v>
      </c>
      <c r="G5204" s="9">
        <v>700</v>
      </c>
      <c r="H5204" s="5" t="s">
        <v>20</v>
      </c>
      <c r="I5204" s="5" t="s">
        <v>12505</v>
      </c>
      <c r="J5204" s="12" t="str">
        <f>HYPERLINK("https://www.boe.es/gazeta/dias/1804/08/07/pdfs/GMD-1804-63.pdf#page=10","Abrir facsímil")</f>
        <v>Abrir facsímil</v>
      </c>
      <c r="K5204" s="15" t="s">
        <v>22</v>
      </c>
    </row>
    <row r="5205" spans="1:11" ht="42" customHeight="1">
      <c r="A5205" s="4" t="s">
        <v>12506</v>
      </c>
      <c r="B5205" s="5" t="s">
        <v>12507</v>
      </c>
      <c r="C5205" s="5" t="s">
        <v>27</v>
      </c>
      <c r="D5205" s="5" t="s">
        <v>28</v>
      </c>
      <c r="E5205" s="5" t="s">
        <v>155</v>
      </c>
      <c r="F5205" s="9">
        <v>92</v>
      </c>
      <c r="G5205" s="9">
        <v>1020</v>
      </c>
      <c r="H5205" s="5" t="s">
        <v>20</v>
      </c>
      <c r="I5205" s="5" t="s">
        <v>12508</v>
      </c>
      <c r="J5205" s="12" t="str">
        <f>HYPERLINK("https://www.boe.es/gazeta/dias/1804/11/16/pdfs/GMD-1804-92.pdf#page=8","Abrir facsímil")</f>
        <v>Abrir facsímil</v>
      </c>
      <c r="K5205" s="15" t="s">
        <v>22</v>
      </c>
    </row>
    <row r="5206" spans="1:11" ht="42" customHeight="1">
      <c r="A5206" s="4" t="s">
        <v>12509</v>
      </c>
      <c r="B5206" s="5" t="s">
        <v>12510</v>
      </c>
      <c r="C5206" s="5" t="s">
        <v>65</v>
      </c>
      <c r="D5206" s="5" t="s">
        <v>66</v>
      </c>
      <c r="E5206" s="5" t="s">
        <v>81</v>
      </c>
      <c r="F5206" s="9">
        <v>98</v>
      </c>
      <c r="G5206" s="9">
        <v>1088</v>
      </c>
      <c r="H5206" s="5" t="s">
        <v>20</v>
      </c>
      <c r="I5206" s="5" t="s">
        <v>12511</v>
      </c>
      <c r="J5206" s="12" t="str">
        <f>HYPERLINK("https://www.boe.es/gazeta/dias/1804/12/07/pdfs/GMD-1804-98.pdf#page=4","Abrir facsímil")</f>
        <v>Abrir facsímil</v>
      </c>
      <c r="K5206" s="15" t="s">
        <v>22</v>
      </c>
    </row>
    <row r="5207" spans="1:11" ht="42" customHeight="1">
      <c r="A5207" s="4" t="s">
        <v>12512</v>
      </c>
      <c r="B5207" s="5" t="s">
        <v>12513</v>
      </c>
      <c r="C5207" s="5" t="s">
        <v>27</v>
      </c>
      <c r="D5207" s="5" t="s">
        <v>28</v>
      </c>
      <c r="E5207" s="5" t="s">
        <v>1020</v>
      </c>
      <c r="F5207" s="9">
        <v>103</v>
      </c>
      <c r="G5207" s="9">
        <v>1147</v>
      </c>
      <c r="H5207" s="5" t="s">
        <v>20</v>
      </c>
      <c r="I5207" s="5" t="s">
        <v>12514</v>
      </c>
      <c r="J5207" s="12" t="str">
        <f>HYPERLINK("https://www.boe.es/gazeta/dias/1804/12/25/pdfs/GMD-1804-103.pdf#page=7","Abrir facsímil")</f>
        <v>Abrir facsímil</v>
      </c>
      <c r="K5207" s="15" t="s">
        <v>22</v>
      </c>
    </row>
    <row r="5208" spans="1:11" ht="42" customHeight="1">
      <c r="A5208" s="4" t="s">
        <v>12515</v>
      </c>
      <c r="B5208" s="5" t="s">
        <v>12516</v>
      </c>
      <c r="C5208" s="5" t="s">
        <v>17</v>
      </c>
      <c r="D5208" s="5" t="s">
        <v>18</v>
      </c>
      <c r="E5208" s="5" t="s">
        <v>175</v>
      </c>
      <c r="F5208" s="9">
        <v>58</v>
      </c>
      <c r="G5208" s="9">
        <v>645</v>
      </c>
      <c r="H5208" s="5" t="s">
        <v>20</v>
      </c>
      <c r="I5208" s="5" t="s">
        <v>12517</v>
      </c>
      <c r="J5208" s="12" t="str">
        <f>HYPERLINK("https://www.boe.es/gazeta/dias/1804/07/20/pdfs/GMD-1804-58.pdf#page=11","Abrir facsímil")</f>
        <v>Abrir facsímil</v>
      </c>
      <c r="K5208" s="15" t="s">
        <v>22</v>
      </c>
    </row>
    <row r="5209" spans="1:11" ht="42" customHeight="1">
      <c r="A5209" s="4" t="s">
        <v>12518</v>
      </c>
      <c r="B5209" s="5" t="s">
        <v>12519</v>
      </c>
      <c r="C5209" s="5" t="s">
        <v>57</v>
      </c>
      <c r="D5209" s="5" t="s">
        <v>58</v>
      </c>
      <c r="E5209" s="5" t="s">
        <v>245</v>
      </c>
      <c r="F5209" s="9">
        <v>6</v>
      </c>
      <c r="G5209" s="9">
        <v>49</v>
      </c>
      <c r="H5209" s="5" t="s">
        <v>20</v>
      </c>
      <c r="I5209" s="5" t="s">
        <v>12520</v>
      </c>
      <c r="J5209" s="12" t="str">
        <f>HYPERLINK("https://www.boe.es/gazeta/dias/1804/01/20/pdfs/GMD-1804-6.pdf#page=1","Abrir facsímil")</f>
        <v>Abrir facsímil</v>
      </c>
      <c r="K5209" s="15" t="s">
        <v>22</v>
      </c>
    </row>
    <row r="5210" spans="1:11" ht="42" customHeight="1">
      <c r="A5210" s="4" t="s">
        <v>12521</v>
      </c>
      <c r="B5210" s="5" t="s">
        <v>12522</v>
      </c>
      <c r="C5210" s="5" t="s">
        <v>17</v>
      </c>
      <c r="D5210" s="5" t="s">
        <v>18</v>
      </c>
      <c r="E5210" s="5" t="s">
        <v>637</v>
      </c>
      <c r="F5210" s="9">
        <v>74</v>
      </c>
      <c r="G5210" s="9">
        <v>833</v>
      </c>
      <c r="H5210" s="5" t="s">
        <v>20</v>
      </c>
      <c r="I5210" s="5" t="s">
        <v>12523</v>
      </c>
      <c r="J5210" s="12" t="str">
        <f>HYPERLINK("https://www.boe.es/gazeta/dias/1804/09/14/pdfs/GMD-1804-74.pdf#page=11","Abrir facsímil")</f>
        <v>Abrir facsímil</v>
      </c>
      <c r="K5210" s="15" t="s">
        <v>22</v>
      </c>
    </row>
    <row r="5211" spans="1:11" ht="42" customHeight="1">
      <c r="A5211" s="4" t="s">
        <v>12524</v>
      </c>
      <c r="B5211" s="5" t="s">
        <v>12525</v>
      </c>
      <c r="C5211" s="5" t="s">
        <v>85</v>
      </c>
      <c r="D5211" s="5" t="s">
        <v>86</v>
      </c>
      <c r="E5211" s="5" t="s">
        <v>208</v>
      </c>
      <c r="F5211" s="9">
        <v>97</v>
      </c>
      <c r="G5211" s="9">
        <v>1084</v>
      </c>
      <c r="H5211" s="5" t="s">
        <v>20</v>
      </c>
      <c r="I5211" s="5" t="s">
        <v>12526</v>
      </c>
      <c r="J5211" s="12" t="str">
        <f>HYPERLINK("https://www.boe.es/gazeta/dias/1804/12/04/pdfs/GMD-1804-97.pdf#page=12","Abrir facsímil")</f>
        <v>Abrir facsímil</v>
      </c>
      <c r="K5211" s="15" t="s">
        <v>22</v>
      </c>
    </row>
    <row r="5212" spans="1:11" ht="42" customHeight="1">
      <c r="A5212" s="4" t="s">
        <v>12527</v>
      </c>
      <c r="B5212" s="5" t="s">
        <v>12528</v>
      </c>
      <c r="C5212" s="5" t="s">
        <v>85</v>
      </c>
      <c r="D5212" s="5" t="s">
        <v>86</v>
      </c>
      <c r="E5212" s="5" t="s">
        <v>155</v>
      </c>
      <c r="F5212" s="9">
        <v>92</v>
      </c>
      <c r="G5212" s="9">
        <v>1024</v>
      </c>
      <c r="H5212" s="5" t="s">
        <v>20</v>
      </c>
      <c r="I5212" s="5" t="s">
        <v>12529</v>
      </c>
      <c r="J5212" s="12" t="str">
        <f>HYPERLINK("https://www.boe.es/gazeta/dias/1804/11/16/pdfs/GMD-1804-92.pdf#page=12","Abrir facsímil")</f>
        <v>Abrir facsímil</v>
      </c>
      <c r="K5212" s="15" t="s">
        <v>22</v>
      </c>
    </row>
    <row r="5213" spans="1:11" ht="42" customHeight="1">
      <c r="A5213" s="4" t="s">
        <v>12530</v>
      </c>
      <c r="B5213" s="5" t="s">
        <v>12531</v>
      </c>
      <c r="C5213" s="5" t="s">
        <v>120</v>
      </c>
      <c r="D5213" s="5" t="s">
        <v>121</v>
      </c>
      <c r="E5213" s="5" t="s">
        <v>33</v>
      </c>
      <c r="F5213" s="9">
        <v>48</v>
      </c>
      <c r="G5213" s="9" t="s">
        <v>98</v>
      </c>
      <c r="H5213" s="5" t="s">
        <v>20</v>
      </c>
      <c r="I5213" s="5" t="s">
        <v>12532</v>
      </c>
      <c r="J5213" s="12" t="str">
        <f>HYPERLINK("https://www.boe.es/gazeta/dias/1804/06/15/pdfs/GMD-C-1804-48.pdf#page=1","Abrir facsímil")</f>
        <v>Abrir facsímil</v>
      </c>
      <c r="K5213" s="15" t="s">
        <v>22</v>
      </c>
    </row>
    <row r="5214" spans="1:11" ht="42" customHeight="1">
      <c r="A5214" s="4" t="s">
        <v>12533</v>
      </c>
      <c r="B5214" s="5" t="s">
        <v>12534</v>
      </c>
      <c r="C5214" s="5" t="s">
        <v>85</v>
      </c>
      <c r="D5214" s="5" t="s">
        <v>86</v>
      </c>
      <c r="E5214" s="5" t="s">
        <v>367</v>
      </c>
      <c r="F5214" s="9">
        <v>64</v>
      </c>
      <c r="G5214" s="9">
        <v>716</v>
      </c>
      <c r="H5214" s="5" t="s">
        <v>20</v>
      </c>
      <c r="I5214" s="5" t="s">
        <v>12535</v>
      </c>
      <c r="J5214" s="12" t="str">
        <f>HYPERLINK("https://www.boe.es/gazeta/dias/1804/08/10/pdfs/GMD-1804-64.pdf#page=10","Abrir facsímil")</f>
        <v>Abrir facsímil</v>
      </c>
      <c r="K5214" s="15" t="s">
        <v>22</v>
      </c>
    </row>
    <row r="5215" spans="1:11" ht="42" customHeight="1">
      <c r="A5215" s="4" t="s">
        <v>12536</v>
      </c>
      <c r="B5215" s="5" t="s">
        <v>12537</v>
      </c>
      <c r="C5215" s="5" t="s">
        <v>17</v>
      </c>
      <c r="D5215" s="5" t="s">
        <v>18</v>
      </c>
      <c r="E5215" s="5" t="s">
        <v>71</v>
      </c>
      <c r="F5215" s="9">
        <v>99</v>
      </c>
      <c r="G5215" s="9">
        <v>1107</v>
      </c>
      <c r="H5215" s="5" t="s">
        <v>20</v>
      </c>
      <c r="I5215" s="5" t="s">
        <v>12538</v>
      </c>
      <c r="J5215" s="12" t="str">
        <f>HYPERLINK("https://www.boe.es/gazeta/dias/1804/12/11/pdfs/GMD-1804-99.pdf#page=7","Abrir facsímil")</f>
        <v>Abrir facsímil</v>
      </c>
      <c r="K5215" s="15" t="s">
        <v>22</v>
      </c>
    </row>
    <row r="5216" spans="1:11" ht="42" customHeight="1">
      <c r="A5216" s="4" t="s">
        <v>12539</v>
      </c>
      <c r="B5216" s="5" t="s">
        <v>12540</v>
      </c>
      <c r="C5216" s="5" t="s">
        <v>85</v>
      </c>
      <c r="D5216" s="5" t="s">
        <v>86</v>
      </c>
      <c r="E5216" s="5" t="s">
        <v>367</v>
      </c>
      <c r="F5216" s="9">
        <v>64</v>
      </c>
      <c r="G5216" s="9">
        <v>715</v>
      </c>
      <c r="H5216" s="5" t="s">
        <v>20</v>
      </c>
      <c r="I5216" s="5" t="s">
        <v>12541</v>
      </c>
      <c r="J5216" s="12" t="str">
        <f>HYPERLINK("https://www.boe.es/gazeta/dias/1804/08/10/pdfs/GMD-1804-64.pdf#page=9","Abrir facsímil")</f>
        <v>Abrir facsímil</v>
      </c>
      <c r="K5216" s="15" t="s">
        <v>22</v>
      </c>
    </row>
    <row r="5217" spans="1:11" ht="42" customHeight="1">
      <c r="A5217" s="4" t="s">
        <v>12539</v>
      </c>
      <c r="B5217" s="5" t="s">
        <v>12540</v>
      </c>
      <c r="C5217" s="5" t="s">
        <v>85</v>
      </c>
      <c r="D5217" s="5" t="s">
        <v>86</v>
      </c>
      <c r="E5217" s="5" t="s">
        <v>367</v>
      </c>
      <c r="F5217" s="9">
        <v>64</v>
      </c>
      <c r="G5217" s="9">
        <v>716</v>
      </c>
      <c r="H5217" s="5" t="s">
        <v>20</v>
      </c>
      <c r="I5217" s="5" t="s">
        <v>12542</v>
      </c>
      <c r="J5217" s="12" t="str">
        <f>HYPERLINK("https://www.boe.es/gazeta/dias/1804/08/10/pdfs/GMD-1804-64.pdf#page=10","Abrir facsímil")</f>
        <v>Abrir facsímil</v>
      </c>
      <c r="K5217" s="15" t="s">
        <v>22</v>
      </c>
    </row>
    <row r="5218" spans="1:11" ht="42" customHeight="1">
      <c r="A5218" s="4" t="s">
        <v>12543</v>
      </c>
      <c r="B5218" s="5" t="s">
        <v>12544</v>
      </c>
      <c r="C5218" s="5" t="s">
        <v>17</v>
      </c>
      <c r="D5218" s="5" t="s">
        <v>18</v>
      </c>
      <c r="E5218" s="5" t="s">
        <v>547</v>
      </c>
      <c r="F5218" s="9">
        <v>68</v>
      </c>
      <c r="G5218" s="9">
        <v>764</v>
      </c>
      <c r="H5218" s="5" t="s">
        <v>20</v>
      </c>
      <c r="I5218" s="5" t="s">
        <v>12545</v>
      </c>
      <c r="J5218" s="12" t="str">
        <f>HYPERLINK("https://www.boe.es/gazeta/dias/1804/08/24/pdfs/GMD-1804-68.pdf#page=10","Abrir facsímil")</f>
        <v>Abrir facsímil</v>
      </c>
      <c r="K5218" s="15" t="s">
        <v>22</v>
      </c>
    </row>
    <row r="5219" spans="1:11" ht="42" customHeight="1">
      <c r="A5219" s="4" t="s">
        <v>12546</v>
      </c>
      <c r="B5219" s="5" t="s">
        <v>12547</v>
      </c>
      <c r="C5219" s="5" t="s">
        <v>27</v>
      </c>
      <c r="D5219" s="5" t="s">
        <v>28</v>
      </c>
      <c r="E5219" s="5" t="s">
        <v>699</v>
      </c>
      <c r="F5219" s="9">
        <v>2</v>
      </c>
      <c r="G5219" s="9">
        <v>18</v>
      </c>
      <c r="H5219" s="5" t="s">
        <v>20</v>
      </c>
      <c r="I5219" s="5" t="s">
        <v>12548</v>
      </c>
      <c r="J5219" s="12" t="str">
        <f>HYPERLINK("https://www.boe.es/gazeta/dias/1804/01/06/pdfs/GMD-1804-2.pdf#page=6","Abrir facsímil")</f>
        <v>Abrir facsímil</v>
      </c>
      <c r="K5219" s="15" t="s">
        <v>22</v>
      </c>
    </row>
    <row r="5220" spans="1:11" ht="42" customHeight="1">
      <c r="A5220" s="4" t="s">
        <v>12549</v>
      </c>
      <c r="B5220" s="5" t="s">
        <v>12549</v>
      </c>
      <c r="C5220" s="5" t="s">
        <v>17</v>
      </c>
      <c r="D5220" s="5" t="s">
        <v>18</v>
      </c>
      <c r="E5220" s="5" t="s">
        <v>479</v>
      </c>
      <c r="F5220" s="9">
        <v>5</v>
      </c>
      <c r="G5220" s="9">
        <v>46</v>
      </c>
      <c r="H5220" s="5" t="s">
        <v>20</v>
      </c>
      <c r="I5220" s="5" t="s">
        <v>12550</v>
      </c>
      <c r="J5220" s="12" t="str">
        <f>HYPERLINK("https://www.boe.es/gazeta/dias/1804/01/17/pdfs/GMD-1804-5.pdf#page=6","Abrir facsímil")</f>
        <v>Abrir facsímil</v>
      </c>
      <c r="K5220" s="15" t="s">
        <v>22</v>
      </c>
    </row>
    <row r="5221" spans="1:11" ht="42" customHeight="1">
      <c r="A5221" s="4" t="s">
        <v>12551</v>
      </c>
      <c r="B5221" s="5" t="s">
        <v>12552</v>
      </c>
      <c r="C5221" s="5" t="s">
        <v>27</v>
      </c>
      <c r="D5221" s="5" t="s">
        <v>28</v>
      </c>
      <c r="E5221" s="5" t="s">
        <v>484</v>
      </c>
      <c r="F5221" s="9">
        <v>53</v>
      </c>
      <c r="G5221" s="9">
        <v>590</v>
      </c>
      <c r="H5221" s="5" t="s">
        <v>20</v>
      </c>
      <c r="I5221" s="5" t="s">
        <v>12553</v>
      </c>
      <c r="J5221" s="12" t="str">
        <f>HYPERLINK("https://www.boe.es/gazeta/dias/1804/07/03/pdfs/GMD-1804-53.pdf#page=8","Abrir facsímil")</f>
        <v>Abrir facsímil</v>
      </c>
      <c r="K5221" s="15" t="s">
        <v>22</v>
      </c>
    </row>
    <row r="5222" spans="1:11" ht="42" customHeight="1">
      <c r="A5222" s="4" t="s">
        <v>12554</v>
      </c>
      <c r="B5222" s="5" t="s">
        <v>12554</v>
      </c>
      <c r="C5222" s="5" t="s">
        <v>17</v>
      </c>
      <c r="D5222" s="5" t="s">
        <v>18</v>
      </c>
      <c r="E5222" s="5" t="s">
        <v>388</v>
      </c>
      <c r="F5222" s="9">
        <v>18</v>
      </c>
      <c r="G5222" s="9">
        <v>193</v>
      </c>
      <c r="H5222" s="5" t="s">
        <v>20</v>
      </c>
      <c r="I5222" s="5" t="s">
        <v>12555</v>
      </c>
      <c r="J5222" s="12" t="str">
        <f>HYPERLINK("https://www.boe.es/gazeta/dias/1804/03/02/pdfs/GMD-1804-18.pdf#page=5","Abrir facsímil")</f>
        <v>Abrir facsímil</v>
      </c>
      <c r="K5222" s="15" t="s">
        <v>22</v>
      </c>
    </row>
    <row r="5223" spans="1:11" ht="42" customHeight="1">
      <c r="A5223" s="4" t="s">
        <v>12556</v>
      </c>
      <c r="B5223" s="5" t="s">
        <v>12557</v>
      </c>
      <c r="C5223" s="5" t="s">
        <v>27</v>
      </c>
      <c r="D5223" s="5" t="s">
        <v>28</v>
      </c>
      <c r="E5223" s="5" t="s">
        <v>367</v>
      </c>
      <c r="F5223" s="9">
        <v>64</v>
      </c>
      <c r="G5223" s="9">
        <v>714</v>
      </c>
      <c r="H5223" s="5" t="s">
        <v>20</v>
      </c>
      <c r="I5223" s="5" t="s">
        <v>12558</v>
      </c>
      <c r="J5223" s="12" t="str">
        <f>HYPERLINK("https://www.boe.es/gazeta/dias/1804/08/10/pdfs/GMD-1804-64.pdf#page=8","Abrir facsímil")</f>
        <v>Abrir facsímil</v>
      </c>
      <c r="K5223" s="15" t="s">
        <v>22</v>
      </c>
    </row>
    <row r="5224" spans="1:11" ht="42" customHeight="1">
      <c r="A5224" s="4" t="s">
        <v>12559</v>
      </c>
      <c r="B5224" s="5" t="s">
        <v>12560</v>
      </c>
      <c r="C5224" s="5" t="s">
        <v>17</v>
      </c>
      <c r="D5224" s="5" t="s">
        <v>18</v>
      </c>
      <c r="E5224" s="5" t="s">
        <v>71</v>
      </c>
      <c r="F5224" s="9">
        <v>99</v>
      </c>
      <c r="G5224" s="9">
        <v>1107</v>
      </c>
      <c r="H5224" s="5" t="s">
        <v>20</v>
      </c>
      <c r="I5224" s="5" t="s">
        <v>12561</v>
      </c>
      <c r="J5224" s="12" t="str">
        <f>HYPERLINK("https://www.boe.es/gazeta/dias/1804/12/11/pdfs/GMD-1804-99.pdf#page=7","Abrir facsímil")</f>
        <v>Abrir facsímil</v>
      </c>
      <c r="K5224" s="15" t="s">
        <v>22</v>
      </c>
    </row>
    <row r="5225" spans="1:11" ht="42" customHeight="1">
      <c r="A5225" s="4" t="s">
        <v>12562</v>
      </c>
      <c r="B5225" s="5" t="s">
        <v>12563</v>
      </c>
      <c r="C5225" s="5" t="s">
        <v>17</v>
      </c>
      <c r="D5225" s="5" t="s">
        <v>18</v>
      </c>
      <c r="E5225" s="5" t="s">
        <v>159</v>
      </c>
      <c r="F5225" s="9">
        <v>15</v>
      </c>
      <c r="G5225" s="9">
        <v>163</v>
      </c>
      <c r="H5225" s="5" t="s">
        <v>20</v>
      </c>
      <c r="I5225" s="5" t="s">
        <v>12564</v>
      </c>
      <c r="J5225" s="12" t="str">
        <f>HYPERLINK("https://www.boe.es/gazeta/dias/1804/02/21/pdfs/GMD-1804-15.pdf#page=7","Abrir facsímil")</f>
        <v>Abrir facsímil</v>
      </c>
      <c r="K5225" s="15" t="s">
        <v>22</v>
      </c>
    </row>
    <row r="5226" spans="1:11" ht="42" customHeight="1">
      <c r="A5226" s="4" t="s">
        <v>12565</v>
      </c>
      <c r="B5226" s="5" t="s">
        <v>12566</v>
      </c>
      <c r="C5226" s="5" t="s">
        <v>17</v>
      </c>
      <c r="D5226" s="5" t="s">
        <v>18</v>
      </c>
      <c r="E5226" s="5" t="s">
        <v>37</v>
      </c>
      <c r="F5226" s="9">
        <v>29</v>
      </c>
      <c r="G5226" s="9">
        <v>318</v>
      </c>
      <c r="H5226" s="5" t="s">
        <v>20</v>
      </c>
      <c r="I5226" s="5" t="s">
        <v>12567</v>
      </c>
      <c r="J5226" s="12" t="str">
        <f>HYPERLINK("https://www.boe.es/gazeta/dias/1804/04/10/pdfs/GMD-1804-29.pdf#page=8","Abrir facsímil")</f>
        <v>Abrir facsímil</v>
      </c>
      <c r="K5226" s="15" t="s">
        <v>22</v>
      </c>
    </row>
    <row r="5227" spans="1:11" ht="42" customHeight="1">
      <c r="A5227" s="4" t="s">
        <v>12568</v>
      </c>
      <c r="B5227" s="5" t="s">
        <v>12569</v>
      </c>
      <c r="C5227" s="5" t="s">
        <v>85</v>
      </c>
      <c r="D5227" s="5" t="s">
        <v>86</v>
      </c>
      <c r="E5227" s="5" t="s">
        <v>302</v>
      </c>
      <c r="F5227" s="9">
        <v>3</v>
      </c>
      <c r="G5227" s="9">
        <v>28</v>
      </c>
      <c r="H5227" s="5" t="s">
        <v>20</v>
      </c>
      <c r="I5227" s="5" t="s">
        <v>12570</v>
      </c>
      <c r="J5227" s="12" t="str">
        <f>HYPERLINK("https://www.boe.es/gazeta/dias/1804/01/10/pdfs/GMD-1804-3.pdf#page=8","Abrir facsímil")</f>
        <v>Abrir facsímil</v>
      </c>
      <c r="K5227" s="15" t="s">
        <v>22</v>
      </c>
    </row>
    <row r="5228" spans="1:11" ht="42" customHeight="1">
      <c r="A5228" s="4" t="s">
        <v>12571</v>
      </c>
      <c r="B5228" s="5" t="s">
        <v>12572</v>
      </c>
      <c r="C5228" s="5" t="s">
        <v>65</v>
      </c>
      <c r="D5228" s="5" t="s">
        <v>66</v>
      </c>
      <c r="E5228" s="5" t="s">
        <v>50</v>
      </c>
      <c r="F5228" s="9">
        <v>93</v>
      </c>
      <c r="G5228" s="9">
        <v>1030</v>
      </c>
      <c r="H5228" s="5" t="s">
        <v>20</v>
      </c>
      <c r="I5228" s="5" t="s">
        <v>12573</v>
      </c>
      <c r="J5228" s="12" t="str">
        <f>HYPERLINK("https://www.boe.es/gazeta/dias/1804/11/20/pdfs/GMD-1804-93.pdf#page=6","Abrir facsímil")</f>
        <v>Abrir facsímil</v>
      </c>
      <c r="K5228" s="15" t="s">
        <v>22</v>
      </c>
    </row>
    <row r="5229" spans="1:11" ht="42" customHeight="1">
      <c r="A5229" s="4" t="s">
        <v>12574</v>
      </c>
      <c r="B5229" s="5" t="s">
        <v>12574</v>
      </c>
      <c r="C5229" s="5" t="s">
        <v>27</v>
      </c>
      <c r="D5229" s="5" t="s">
        <v>28</v>
      </c>
      <c r="E5229" s="5" t="s">
        <v>19</v>
      </c>
      <c r="F5229" s="9">
        <v>60</v>
      </c>
      <c r="G5229" s="9">
        <v>664</v>
      </c>
      <c r="H5229" s="5" t="s">
        <v>20</v>
      </c>
      <c r="I5229" s="5" t="s">
        <v>12575</v>
      </c>
      <c r="J5229" s="12" t="str">
        <f>HYPERLINK("https://www.boe.es/gazeta/dias/1804/07/27/pdfs/GMD-1804-60.pdf#page=6","Abrir facsímil")</f>
        <v>Abrir facsímil</v>
      </c>
      <c r="K5229" s="15" t="s">
        <v>22</v>
      </c>
    </row>
    <row r="5230" spans="1:11" ht="42" customHeight="1">
      <c r="A5230" s="4" t="s">
        <v>12576</v>
      </c>
      <c r="B5230" s="5" t="s">
        <v>12577</v>
      </c>
      <c r="C5230" s="5" t="s">
        <v>27</v>
      </c>
      <c r="D5230" s="5" t="s">
        <v>28</v>
      </c>
      <c r="E5230" s="5" t="s">
        <v>199</v>
      </c>
      <c r="F5230" s="9">
        <v>46</v>
      </c>
      <c r="G5230" s="9">
        <v>512</v>
      </c>
      <c r="H5230" s="5" t="s">
        <v>20</v>
      </c>
      <c r="I5230" s="5" t="s">
        <v>12578</v>
      </c>
      <c r="J5230" s="12" t="str">
        <f>HYPERLINK("https://www.boe.es/gazeta/dias/1804/06/08/pdfs/GMD-1804-46.pdf#page=10","Abrir facsímil")</f>
        <v>Abrir facsímil</v>
      </c>
      <c r="K5230" s="15" t="s">
        <v>22</v>
      </c>
    </row>
    <row r="5231" spans="1:11" ht="42" customHeight="1">
      <c r="A5231" s="4" t="s">
        <v>12579</v>
      </c>
      <c r="B5231" s="5" t="s">
        <v>12579</v>
      </c>
      <c r="C5231" s="5" t="s">
        <v>57</v>
      </c>
      <c r="D5231" s="5" t="s">
        <v>58</v>
      </c>
      <c r="E5231" s="5" t="s">
        <v>298</v>
      </c>
      <c r="F5231" s="9">
        <v>10</v>
      </c>
      <c r="G5231" s="9">
        <v>105</v>
      </c>
      <c r="H5231" s="5" t="s">
        <v>20</v>
      </c>
      <c r="I5231" s="5" t="s">
        <v>12580</v>
      </c>
      <c r="J5231" s="12" t="str">
        <f>HYPERLINK("https://www.boe.es/gazeta/dias/1804/02/03/pdfs/GMD-1804-10.pdf#page=5","Abrir facsímil")</f>
        <v>Abrir facsímil</v>
      </c>
      <c r="K5231" s="15" t="s">
        <v>22</v>
      </c>
    </row>
    <row r="5232" spans="1:11" ht="42" customHeight="1">
      <c r="A5232" s="4" t="s">
        <v>12581</v>
      </c>
      <c r="B5232" s="5" t="s">
        <v>12581</v>
      </c>
      <c r="C5232" s="5" t="s">
        <v>57</v>
      </c>
      <c r="D5232" s="5" t="s">
        <v>58</v>
      </c>
      <c r="E5232" s="5" t="s">
        <v>61</v>
      </c>
      <c r="F5232" s="9">
        <v>61</v>
      </c>
      <c r="G5232" s="9">
        <v>674</v>
      </c>
      <c r="H5232" s="5" t="s">
        <v>20</v>
      </c>
      <c r="I5232" s="5" t="s">
        <v>12582</v>
      </c>
      <c r="J5232" s="12" t="str">
        <f>HYPERLINK("https://www.boe.es/gazeta/dias/1804/07/31/pdfs/GMD-1804-61.pdf#page=4","Abrir facsímil")</f>
        <v>Abrir facsímil</v>
      </c>
      <c r="K5232" s="15" t="s">
        <v>22</v>
      </c>
    </row>
    <row r="5233" spans="1:11" ht="42" customHeight="1">
      <c r="A5233" s="4" t="s">
        <v>12583</v>
      </c>
      <c r="B5233" s="5" t="s">
        <v>12583</v>
      </c>
      <c r="C5233" s="5" t="s">
        <v>27</v>
      </c>
      <c r="D5233" s="5" t="s">
        <v>28</v>
      </c>
      <c r="E5233" s="5" t="s">
        <v>542</v>
      </c>
      <c r="F5233" s="9">
        <v>54</v>
      </c>
      <c r="G5233" s="9">
        <v>599</v>
      </c>
      <c r="H5233" s="5" t="s">
        <v>20</v>
      </c>
      <c r="I5233" s="5" t="s">
        <v>12584</v>
      </c>
      <c r="J5233" s="12" t="str">
        <f>HYPERLINK("https://www.boe.es/gazeta/dias/1804/07/06/pdfs/GMD-1804-54.pdf#page=5","Abrir facsímil")</f>
        <v>Abrir facsímil</v>
      </c>
      <c r="K5233" s="15" t="s">
        <v>22</v>
      </c>
    </row>
    <row r="5234" spans="1:11" ht="42" customHeight="1">
      <c r="A5234" s="4" t="s">
        <v>12585</v>
      </c>
      <c r="B5234" s="5" t="s">
        <v>12585</v>
      </c>
      <c r="C5234" s="5" t="s">
        <v>27</v>
      </c>
      <c r="D5234" s="5" t="s">
        <v>28</v>
      </c>
      <c r="E5234" s="5" t="s">
        <v>576</v>
      </c>
      <c r="F5234" s="9">
        <v>85</v>
      </c>
      <c r="G5234" s="9">
        <v>937</v>
      </c>
      <c r="H5234" s="5" t="s">
        <v>20</v>
      </c>
      <c r="I5234" s="5" t="s">
        <v>12586</v>
      </c>
      <c r="J5234" s="12" t="str">
        <f>HYPERLINK("https://www.boe.es/gazeta/dias/1804/10/23/pdfs/GMD-1804-85.pdf#page=7","Abrir facsímil")</f>
        <v>Abrir facsímil</v>
      </c>
      <c r="K5234" s="15" t="s">
        <v>22</v>
      </c>
    </row>
    <row r="5235" spans="1:11" ht="42" customHeight="1">
      <c r="A5235" s="4" t="s">
        <v>12587</v>
      </c>
      <c r="B5235" s="5" t="s">
        <v>12587</v>
      </c>
      <c r="C5235" s="5" t="s">
        <v>27</v>
      </c>
      <c r="D5235" s="5" t="s">
        <v>28</v>
      </c>
      <c r="E5235" s="5" t="s">
        <v>666</v>
      </c>
      <c r="F5235" s="9">
        <v>57</v>
      </c>
      <c r="G5235" s="9">
        <v>626</v>
      </c>
      <c r="H5235" s="5" t="s">
        <v>20</v>
      </c>
      <c r="I5235" s="5" t="s">
        <v>12588</v>
      </c>
      <c r="J5235" s="12" t="str">
        <f>HYPERLINK("https://www.boe.es/gazeta/dias/1804/07/17/pdfs/GMD-1804-57.pdf#page=4","Abrir facsímil")</f>
        <v>Abrir facsímil</v>
      </c>
      <c r="K5235" s="15" t="s">
        <v>22</v>
      </c>
    </row>
    <row r="5236" spans="1:11" ht="42" customHeight="1">
      <c r="A5236" s="4" t="s">
        <v>12589</v>
      </c>
      <c r="B5236" s="5" t="s">
        <v>12590</v>
      </c>
      <c r="C5236" s="5" t="s">
        <v>27</v>
      </c>
      <c r="D5236" s="5" t="s">
        <v>28</v>
      </c>
      <c r="E5236" s="5" t="s">
        <v>81</v>
      </c>
      <c r="F5236" s="9">
        <v>98</v>
      </c>
      <c r="G5236" s="9">
        <v>1088</v>
      </c>
      <c r="H5236" s="5" t="s">
        <v>20</v>
      </c>
      <c r="I5236" s="5" t="s">
        <v>12591</v>
      </c>
      <c r="J5236" s="12" t="str">
        <f>HYPERLINK("https://www.boe.es/gazeta/dias/1804/12/07/pdfs/GMD-1804-98.pdf#page=4","Abrir facsímil")</f>
        <v>Abrir facsímil</v>
      </c>
      <c r="K5236" s="15" t="s">
        <v>22</v>
      </c>
    </row>
    <row r="5237" spans="1:11" ht="42" customHeight="1">
      <c r="A5237" s="4" t="s">
        <v>12592</v>
      </c>
      <c r="B5237" s="5" t="s">
        <v>12593</v>
      </c>
      <c r="C5237" s="5" t="s">
        <v>27</v>
      </c>
      <c r="D5237" s="5" t="s">
        <v>28</v>
      </c>
      <c r="E5237" s="5" t="s">
        <v>147</v>
      </c>
      <c r="F5237" s="9">
        <v>77</v>
      </c>
      <c r="G5237" s="9">
        <v>862</v>
      </c>
      <c r="H5237" s="5" t="s">
        <v>20</v>
      </c>
      <c r="I5237" s="5" t="s">
        <v>12594</v>
      </c>
      <c r="J5237" s="12" t="str">
        <f>HYPERLINK("https://www.boe.es/gazeta/dias/1804/09/25/pdfs/GMD-1804-77.pdf#page=12","Abrir facsímil")</f>
        <v>Abrir facsímil</v>
      </c>
      <c r="K5237" s="15" t="s">
        <v>22</v>
      </c>
    </row>
    <row r="5238" spans="1:11" ht="42" customHeight="1">
      <c r="A5238" s="4" t="s">
        <v>12595</v>
      </c>
      <c r="B5238" s="5" t="s">
        <v>12596</v>
      </c>
      <c r="C5238" s="5" t="s">
        <v>198</v>
      </c>
      <c r="D5238" s="5" t="s">
        <v>66</v>
      </c>
      <c r="E5238" s="5" t="s">
        <v>794</v>
      </c>
      <c r="F5238" s="9">
        <v>42</v>
      </c>
      <c r="G5238" s="9">
        <v>467</v>
      </c>
      <c r="H5238" s="5" t="s">
        <v>20</v>
      </c>
      <c r="I5238" s="5" t="s">
        <v>12597</v>
      </c>
      <c r="J5238" s="12" t="str">
        <f>HYPERLINK("https://www.boe.es/gazeta/dias/1804/05/25/pdfs/GMD-1804-42.pdf#page=5","Abrir facsímil")</f>
        <v>Abrir facsímil</v>
      </c>
      <c r="K5238" s="15" t="s">
        <v>22</v>
      </c>
    </row>
    <row r="5239" spans="1:11" ht="42" customHeight="1">
      <c r="A5239" s="4" t="s">
        <v>12598</v>
      </c>
      <c r="B5239" s="5" t="s">
        <v>12599</v>
      </c>
      <c r="C5239" s="5" t="s">
        <v>85</v>
      </c>
      <c r="D5239" s="5" t="s">
        <v>86</v>
      </c>
      <c r="E5239" s="5" t="s">
        <v>19</v>
      </c>
      <c r="F5239" s="9">
        <v>60</v>
      </c>
      <c r="G5239" s="9">
        <v>661</v>
      </c>
      <c r="H5239" s="5" t="s">
        <v>20</v>
      </c>
      <c r="I5239" s="5" t="s">
        <v>12600</v>
      </c>
      <c r="J5239" s="12" t="str">
        <f>HYPERLINK("https://www.boe.es/gazeta/dias/1804/07/27/pdfs/GMD-1804-60.pdf#page=3","Abrir facsímil")</f>
        <v>Abrir facsímil</v>
      </c>
      <c r="K5239" s="15" t="s">
        <v>22</v>
      </c>
    </row>
    <row r="5240" spans="1:11" ht="42" customHeight="1">
      <c r="A5240" s="4" t="s">
        <v>12598</v>
      </c>
      <c r="B5240" s="5" t="s">
        <v>12599</v>
      </c>
      <c r="C5240" s="5" t="s">
        <v>57</v>
      </c>
      <c r="D5240" s="5" t="s">
        <v>58</v>
      </c>
      <c r="E5240" s="5" t="s">
        <v>251</v>
      </c>
      <c r="F5240" s="9">
        <v>79</v>
      </c>
      <c r="G5240" s="9">
        <v>875</v>
      </c>
      <c r="H5240" s="5" t="s">
        <v>20</v>
      </c>
      <c r="I5240" s="5" t="s">
        <v>12601</v>
      </c>
      <c r="J5240" s="12" t="str">
        <f>HYPERLINK("https://www.boe.es/gazeta/dias/1804/10/02/pdfs/GMD-1804-79.pdf#page=5","Abrir facsímil")</f>
        <v>Abrir facsímil</v>
      </c>
      <c r="K5240" s="15" t="s">
        <v>22</v>
      </c>
    </row>
    <row r="5241" spans="1:11" ht="42" customHeight="1">
      <c r="A5241" s="4" t="s">
        <v>12602</v>
      </c>
      <c r="B5241" s="5" t="s">
        <v>12602</v>
      </c>
      <c r="C5241" s="5" t="s">
        <v>85</v>
      </c>
      <c r="D5241" s="5" t="s">
        <v>86</v>
      </c>
      <c r="E5241" s="5" t="s">
        <v>29</v>
      </c>
      <c r="F5241" s="9">
        <v>88</v>
      </c>
      <c r="G5241" s="9">
        <v>969</v>
      </c>
      <c r="H5241" s="5" t="s">
        <v>20</v>
      </c>
      <c r="I5241" s="5" t="s">
        <v>12603</v>
      </c>
      <c r="J5241" s="12" t="str">
        <f>HYPERLINK("https://www.boe.es/gazeta/dias/1804/11/02/pdfs/GMD-1804-88.pdf#page=1","Abrir facsímil")</f>
        <v>Abrir facsímil</v>
      </c>
      <c r="K5241" s="15" t="s">
        <v>22</v>
      </c>
    </row>
    <row r="5242" spans="1:11" ht="42" customHeight="1">
      <c r="A5242" s="4" t="s">
        <v>12604</v>
      </c>
      <c r="B5242" s="5" t="s">
        <v>12604</v>
      </c>
      <c r="C5242" s="5" t="s">
        <v>57</v>
      </c>
      <c r="D5242" s="5" t="s">
        <v>58</v>
      </c>
      <c r="E5242" s="5" t="s">
        <v>222</v>
      </c>
      <c r="F5242" s="9">
        <v>4</v>
      </c>
      <c r="G5242" s="9">
        <v>36</v>
      </c>
      <c r="H5242" s="5" t="s">
        <v>20</v>
      </c>
      <c r="I5242" s="5" t="s">
        <v>12605</v>
      </c>
      <c r="J5242" s="12" t="str">
        <f>HYPERLINK("https://www.boe.es/gazeta/dias/1804/01/13/pdfs/GMD-1804-4.pdf#page=8","Abrir facsímil")</f>
        <v>Abrir facsímil</v>
      </c>
      <c r="K5242" s="15" t="s">
        <v>22</v>
      </c>
    </row>
    <row r="5243" spans="1:11" ht="42" customHeight="1">
      <c r="A5243" s="4" t="s">
        <v>12606</v>
      </c>
      <c r="B5243" s="5" t="s">
        <v>12606</v>
      </c>
      <c r="C5243" s="5" t="s">
        <v>57</v>
      </c>
      <c r="D5243" s="5" t="s">
        <v>58</v>
      </c>
      <c r="E5243" s="5" t="s">
        <v>511</v>
      </c>
      <c r="F5243" s="9">
        <v>12</v>
      </c>
      <c r="G5243" s="9">
        <v>128</v>
      </c>
      <c r="H5243" s="5" t="s">
        <v>20</v>
      </c>
      <c r="I5243" s="5" t="s">
        <v>12607</v>
      </c>
      <c r="J5243" s="12" t="str">
        <f>HYPERLINK("https://www.boe.es/gazeta/dias/1804/02/10/pdfs/GMD-1804-12.pdf#page=4","Abrir facsímil")</f>
        <v>Abrir facsímil</v>
      </c>
      <c r="K5243" s="15" t="s">
        <v>22</v>
      </c>
    </row>
    <row r="5244" spans="1:11" ht="42" customHeight="1">
      <c r="A5244" s="4" t="s">
        <v>12608</v>
      </c>
      <c r="B5244" s="5" t="s">
        <v>12609</v>
      </c>
      <c r="C5244" s="5" t="s">
        <v>27</v>
      </c>
      <c r="D5244" s="5" t="s">
        <v>28</v>
      </c>
      <c r="E5244" s="5" t="s">
        <v>623</v>
      </c>
      <c r="F5244" s="9">
        <v>51</v>
      </c>
      <c r="G5244" s="9">
        <v>561</v>
      </c>
      <c r="H5244" s="5" t="s">
        <v>20</v>
      </c>
      <c r="I5244" s="5" t="s">
        <v>12610</v>
      </c>
      <c r="J5244" s="12" t="str">
        <f>HYPERLINK("https://www.boe.es/gazeta/dias/1804/06/26/pdfs/GMD-1804-51.pdf#page=7","Abrir facsímil")</f>
        <v>Abrir facsímil</v>
      </c>
      <c r="K5244" s="15" t="s">
        <v>22</v>
      </c>
    </row>
    <row r="5245" spans="1:11" ht="42" customHeight="1">
      <c r="A5245" s="4" t="s">
        <v>12611</v>
      </c>
      <c r="B5245" s="5" t="s">
        <v>12612</v>
      </c>
      <c r="C5245" s="5" t="s">
        <v>27</v>
      </c>
      <c r="D5245" s="5" t="s">
        <v>28</v>
      </c>
      <c r="E5245" s="5" t="s">
        <v>497</v>
      </c>
      <c r="F5245" s="9">
        <v>25</v>
      </c>
      <c r="G5245" s="9">
        <v>282</v>
      </c>
      <c r="H5245" s="5" t="s">
        <v>20</v>
      </c>
      <c r="I5245" s="5" t="s">
        <v>12613</v>
      </c>
      <c r="J5245" s="12" t="str">
        <f>HYPERLINK("https://www.boe.es/gazeta/dias/1804/03/27/pdfs/GMD-1804-25.pdf#page=4","Abrir facsímil")</f>
        <v>Abrir facsímil</v>
      </c>
      <c r="K5245" s="15" t="s">
        <v>22</v>
      </c>
    </row>
    <row r="5246" spans="1:11" ht="42" customHeight="1">
      <c r="A5246" s="4" t="s">
        <v>12614</v>
      </c>
      <c r="B5246" s="5" t="s">
        <v>12615</v>
      </c>
      <c r="C5246" s="5" t="s">
        <v>57</v>
      </c>
      <c r="D5246" s="5" t="s">
        <v>58</v>
      </c>
      <c r="E5246" s="5" t="s">
        <v>206</v>
      </c>
      <c r="F5246" s="9">
        <v>44</v>
      </c>
      <c r="G5246" s="9">
        <v>485</v>
      </c>
      <c r="H5246" s="5" t="s">
        <v>20</v>
      </c>
      <c r="I5246" s="5" t="s">
        <v>12616</v>
      </c>
      <c r="J5246" s="12" t="str">
        <f>HYPERLINK("https://www.boe.es/gazeta/dias/1804/06/01/pdfs/GMD-1804-44.pdf#page=3","Abrir facsímil")</f>
        <v>Abrir facsímil</v>
      </c>
      <c r="K5246" s="15" t="s">
        <v>22</v>
      </c>
    </row>
    <row r="5247" spans="1:11" ht="42" customHeight="1">
      <c r="A5247" s="4" t="s">
        <v>12617</v>
      </c>
      <c r="B5247" s="5" t="s">
        <v>12618</v>
      </c>
      <c r="C5247" s="5" t="s">
        <v>57</v>
      </c>
      <c r="D5247" s="5" t="s">
        <v>58</v>
      </c>
      <c r="E5247" s="5" t="s">
        <v>709</v>
      </c>
      <c r="F5247" s="9">
        <v>82</v>
      </c>
      <c r="G5247" s="9">
        <v>902</v>
      </c>
      <c r="H5247" s="5" t="s">
        <v>20</v>
      </c>
      <c r="I5247" s="5" t="s">
        <v>12619</v>
      </c>
      <c r="J5247" s="12" t="str">
        <f>HYPERLINK("https://www.boe.es/gazeta/dias/1804/10/12/pdfs/GMD-1804-82.pdf#page=4","Abrir facsímil")</f>
        <v>Abrir facsímil</v>
      </c>
      <c r="K5247" s="15" t="s">
        <v>22</v>
      </c>
    </row>
    <row r="5248" spans="1:11" ht="42" customHeight="1">
      <c r="A5248" s="4" t="s">
        <v>12620</v>
      </c>
      <c r="B5248" s="5" t="s">
        <v>12621</v>
      </c>
      <c r="C5248" s="5" t="s">
        <v>57</v>
      </c>
      <c r="D5248" s="5" t="s">
        <v>58</v>
      </c>
      <c r="E5248" s="5" t="s">
        <v>794</v>
      </c>
      <c r="F5248" s="9">
        <v>42</v>
      </c>
      <c r="G5248" s="9">
        <v>468</v>
      </c>
      <c r="H5248" s="5" t="s">
        <v>20</v>
      </c>
      <c r="I5248" s="5" t="s">
        <v>12622</v>
      </c>
      <c r="J5248" s="12" t="str">
        <f>HYPERLINK("https://www.boe.es/gazeta/dias/1804/05/25/pdfs/GMD-1804-42.pdf#page=6","Abrir facsímil")</f>
        <v>Abrir facsímil</v>
      </c>
      <c r="K5248" s="15" t="s">
        <v>22</v>
      </c>
    </row>
    <row r="5249" spans="1:11" ht="42" customHeight="1">
      <c r="A5249" s="4" t="s">
        <v>12623</v>
      </c>
      <c r="B5249" s="5" t="s">
        <v>12624</v>
      </c>
      <c r="C5249" s="5" t="s">
        <v>198</v>
      </c>
      <c r="D5249" s="5" t="s">
        <v>66</v>
      </c>
      <c r="E5249" s="5" t="s">
        <v>212</v>
      </c>
      <c r="F5249" s="9">
        <v>89</v>
      </c>
      <c r="G5249" s="9">
        <v>987</v>
      </c>
      <c r="H5249" s="5" t="s">
        <v>20</v>
      </c>
      <c r="I5249" s="5" t="s">
        <v>12625</v>
      </c>
      <c r="J5249" s="12" t="str">
        <f>HYPERLINK("https://www.boe.es/gazeta/dias/1804/11/06/pdfs/GMD-1804-89.pdf#page=7","Abrir facsímil")</f>
        <v>Abrir facsímil</v>
      </c>
      <c r="K5249" s="15" t="s">
        <v>22</v>
      </c>
    </row>
    <row r="5250" spans="1:11" ht="42" customHeight="1">
      <c r="A5250" s="4" t="s">
        <v>12626</v>
      </c>
      <c r="B5250" s="5" t="s">
        <v>12627</v>
      </c>
      <c r="C5250" s="5" t="s">
        <v>57</v>
      </c>
      <c r="D5250" s="5" t="s">
        <v>58</v>
      </c>
      <c r="E5250" s="5" t="s">
        <v>151</v>
      </c>
      <c r="F5250" s="9">
        <v>13</v>
      </c>
      <c r="G5250" s="9">
        <v>139</v>
      </c>
      <c r="H5250" s="5" t="s">
        <v>20</v>
      </c>
      <c r="I5250" s="5" t="s">
        <v>12628</v>
      </c>
      <c r="J5250" s="12" t="str">
        <f>HYPERLINK("https://www.boe.es/gazeta/dias/1804/02/14/pdfs/GMD-1804-13.pdf#page=3","Abrir facsímil")</f>
        <v>Abrir facsímil</v>
      </c>
      <c r="K5250" s="15" t="s">
        <v>22</v>
      </c>
    </row>
    <row r="5251" spans="1:11" ht="42" customHeight="1">
      <c r="A5251" s="4" t="s">
        <v>12626</v>
      </c>
      <c r="B5251" s="5" t="s">
        <v>12627</v>
      </c>
      <c r="C5251" s="5" t="s">
        <v>57</v>
      </c>
      <c r="D5251" s="5" t="s">
        <v>58</v>
      </c>
      <c r="E5251" s="5" t="s">
        <v>230</v>
      </c>
      <c r="F5251" s="9">
        <v>26</v>
      </c>
      <c r="G5251" s="9">
        <v>287</v>
      </c>
      <c r="H5251" s="5" t="s">
        <v>20</v>
      </c>
      <c r="I5251" s="5" t="s">
        <v>12629</v>
      </c>
      <c r="J5251" s="12" t="str">
        <f>HYPERLINK("https://www.boe.es/gazeta/dias/1804/03/30/pdfs/GMD-1804-26.pdf#page=1","Abrir facsímil")</f>
        <v>Abrir facsímil</v>
      </c>
      <c r="K5251" s="15" t="s">
        <v>22</v>
      </c>
    </row>
    <row r="5252" spans="1:11" ht="42" customHeight="1">
      <c r="A5252" s="4" t="s">
        <v>12626</v>
      </c>
      <c r="B5252" s="5" t="s">
        <v>12627</v>
      </c>
      <c r="C5252" s="5" t="s">
        <v>27</v>
      </c>
      <c r="D5252" s="5" t="s">
        <v>28</v>
      </c>
      <c r="E5252" s="5" t="s">
        <v>704</v>
      </c>
      <c r="F5252" s="9">
        <v>36</v>
      </c>
      <c r="G5252" s="9">
        <v>394</v>
      </c>
      <c r="H5252" s="5" t="s">
        <v>20</v>
      </c>
      <c r="I5252" s="5" t="s">
        <v>12630</v>
      </c>
      <c r="J5252" s="12" t="str">
        <f>HYPERLINK("https://www.boe.es/gazeta/dias/1804/05/04/pdfs/GMD-1804-36.pdf#page=4","Abrir facsímil")</f>
        <v>Abrir facsímil</v>
      </c>
      <c r="K5252" s="15" t="s">
        <v>22</v>
      </c>
    </row>
    <row r="5253" spans="1:11" ht="42" customHeight="1">
      <c r="A5253" s="4" t="s">
        <v>12626</v>
      </c>
      <c r="B5253" s="5" t="s">
        <v>12627</v>
      </c>
      <c r="C5253" s="5" t="s">
        <v>57</v>
      </c>
      <c r="D5253" s="5" t="s">
        <v>58</v>
      </c>
      <c r="E5253" s="5" t="s">
        <v>140</v>
      </c>
      <c r="F5253" s="9">
        <v>39</v>
      </c>
      <c r="G5253" s="9">
        <v>430</v>
      </c>
      <c r="H5253" s="5" t="s">
        <v>20</v>
      </c>
      <c r="I5253" s="5" t="s">
        <v>12631</v>
      </c>
      <c r="J5253" s="12" t="str">
        <f>HYPERLINK("https://www.boe.es/gazeta/dias/1804/05/15/pdfs/GMD-1804-39.pdf#page=4","Abrir facsímil")</f>
        <v>Abrir facsímil</v>
      </c>
      <c r="K5253" s="15" t="s">
        <v>22</v>
      </c>
    </row>
    <row r="5254" spans="1:11" ht="42" customHeight="1">
      <c r="A5254" s="4" t="s">
        <v>12626</v>
      </c>
      <c r="B5254" s="5" t="s">
        <v>12627</v>
      </c>
      <c r="C5254" s="5" t="s">
        <v>27</v>
      </c>
      <c r="D5254" s="5" t="s">
        <v>28</v>
      </c>
      <c r="E5254" s="5" t="s">
        <v>140</v>
      </c>
      <c r="F5254" s="9">
        <v>39</v>
      </c>
      <c r="G5254" s="9">
        <v>431</v>
      </c>
      <c r="H5254" s="5" t="s">
        <v>20</v>
      </c>
      <c r="I5254" s="5" t="s">
        <v>12632</v>
      </c>
      <c r="J5254" s="12" t="str">
        <f>HYPERLINK("https://www.boe.es/gazeta/dias/1804/05/15/pdfs/GMD-1804-39.pdf#page=5","Abrir facsímil")</f>
        <v>Abrir facsímil</v>
      </c>
      <c r="K5254" s="15" t="s">
        <v>22</v>
      </c>
    </row>
    <row r="5255" spans="1:11" ht="42" customHeight="1">
      <c r="A5255" s="4" t="s">
        <v>12626</v>
      </c>
      <c r="B5255" s="5" t="s">
        <v>12627</v>
      </c>
      <c r="C5255" s="5" t="s">
        <v>57</v>
      </c>
      <c r="D5255" s="5" t="s">
        <v>58</v>
      </c>
      <c r="E5255" s="5" t="s">
        <v>794</v>
      </c>
      <c r="F5255" s="9">
        <v>42</v>
      </c>
      <c r="G5255" s="9">
        <v>467</v>
      </c>
      <c r="H5255" s="5" t="s">
        <v>20</v>
      </c>
      <c r="I5255" s="5" t="s">
        <v>12633</v>
      </c>
      <c r="J5255" s="12" t="str">
        <f>HYPERLINK("https://www.boe.es/gazeta/dias/1804/05/25/pdfs/GMD-1804-42.pdf#page=5","Abrir facsímil")</f>
        <v>Abrir facsímil</v>
      </c>
      <c r="K5255" s="15" t="s">
        <v>22</v>
      </c>
    </row>
    <row r="5256" spans="1:11" ht="42" customHeight="1">
      <c r="A5256" s="4" t="s">
        <v>12626</v>
      </c>
      <c r="B5256" s="5" t="s">
        <v>12627</v>
      </c>
      <c r="C5256" s="5" t="s">
        <v>17</v>
      </c>
      <c r="D5256" s="5" t="s">
        <v>18</v>
      </c>
      <c r="E5256" s="5" t="s">
        <v>421</v>
      </c>
      <c r="F5256" s="9">
        <v>47</v>
      </c>
      <c r="G5256" s="9">
        <v>522</v>
      </c>
      <c r="H5256" s="5" t="s">
        <v>20</v>
      </c>
      <c r="I5256" s="5" t="s">
        <v>12634</v>
      </c>
      <c r="J5256" s="12" t="str">
        <f>HYPERLINK("https://www.boe.es/gazeta/dias/1804/06/12/pdfs/GMD-1804-47.pdf#page=4","Abrir facsímil")</f>
        <v>Abrir facsímil</v>
      </c>
      <c r="K5256" s="15" t="s">
        <v>22</v>
      </c>
    </row>
    <row r="5257" spans="1:11" ht="42" customHeight="1">
      <c r="A5257" s="4" t="s">
        <v>12626</v>
      </c>
      <c r="B5257" s="5" t="s">
        <v>12627</v>
      </c>
      <c r="C5257" s="5" t="s">
        <v>57</v>
      </c>
      <c r="D5257" s="5" t="s">
        <v>58</v>
      </c>
      <c r="E5257" s="5" t="s">
        <v>33</v>
      </c>
      <c r="F5257" s="9">
        <v>48</v>
      </c>
      <c r="G5257" s="9">
        <v>532</v>
      </c>
      <c r="H5257" s="5" t="s">
        <v>20</v>
      </c>
      <c r="I5257" s="5" t="s">
        <v>12635</v>
      </c>
      <c r="J5257" s="12" t="str">
        <f>HYPERLINK("https://www.boe.es/gazeta/dias/1804/06/15/pdfs/GMD-1804-48.pdf#page=2","Abrir facsímil")</f>
        <v>Abrir facsímil</v>
      </c>
      <c r="K5257" s="15" t="s">
        <v>22</v>
      </c>
    </row>
    <row r="5258" spans="1:11" ht="42" customHeight="1">
      <c r="A5258" s="4" t="s">
        <v>12626</v>
      </c>
      <c r="B5258" s="5" t="s">
        <v>12627</v>
      </c>
      <c r="C5258" s="5" t="s">
        <v>27</v>
      </c>
      <c r="D5258" s="5" t="s">
        <v>28</v>
      </c>
      <c r="E5258" s="5" t="s">
        <v>587</v>
      </c>
      <c r="F5258" s="9">
        <v>62</v>
      </c>
      <c r="G5258" s="9">
        <v>683</v>
      </c>
      <c r="H5258" s="5" t="s">
        <v>20</v>
      </c>
      <c r="I5258" s="5" t="s">
        <v>12636</v>
      </c>
      <c r="J5258" s="12" t="str">
        <f>HYPERLINK("https://www.boe.es/gazeta/dias/1804/08/03/pdfs/GMD-1804-62.pdf#page=5","Abrir facsímil")</f>
        <v>Abrir facsímil</v>
      </c>
      <c r="K5258" s="15" t="s">
        <v>22</v>
      </c>
    </row>
    <row r="5259" spans="1:11" ht="42" customHeight="1">
      <c r="A5259" s="4" t="s">
        <v>12626</v>
      </c>
      <c r="B5259" s="5" t="s">
        <v>12627</v>
      </c>
      <c r="C5259" s="5" t="s">
        <v>27</v>
      </c>
      <c r="D5259" s="5" t="s">
        <v>28</v>
      </c>
      <c r="E5259" s="5" t="s">
        <v>427</v>
      </c>
      <c r="F5259" s="9">
        <v>80</v>
      </c>
      <c r="G5259" s="9">
        <v>887</v>
      </c>
      <c r="H5259" s="5" t="s">
        <v>20</v>
      </c>
      <c r="I5259" s="5" t="s">
        <v>12637</v>
      </c>
      <c r="J5259" s="12" t="str">
        <f>HYPERLINK("https://www.boe.es/gazeta/dias/1804/10/05/pdfs/GMD-1804-80.pdf#page=5","Abrir facsímil")</f>
        <v>Abrir facsímil</v>
      </c>
      <c r="K5259" s="15" t="s">
        <v>22</v>
      </c>
    </row>
    <row r="5260" spans="1:11" ht="42" customHeight="1">
      <c r="A5260" s="4" t="s">
        <v>12626</v>
      </c>
      <c r="B5260" s="5" t="s">
        <v>12627</v>
      </c>
      <c r="C5260" s="5" t="s">
        <v>57</v>
      </c>
      <c r="D5260" s="5" t="s">
        <v>58</v>
      </c>
      <c r="E5260" s="5" t="s">
        <v>191</v>
      </c>
      <c r="F5260" s="9">
        <v>101</v>
      </c>
      <c r="G5260" s="9">
        <v>1124</v>
      </c>
      <c r="H5260" s="5" t="s">
        <v>20</v>
      </c>
      <c r="I5260" s="5" t="s">
        <v>12638</v>
      </c>
      <c r="J5260" s="12" t="str">
        <f>HYPERLINK("https://www.boe.es/gazeta/dias/1804/12/18/pdfs/GMD-1804-101.pdf#page=4","Abrir facsímil")</f>
        <v>Abrir facsímil</v>
      </c>
      <c r="K5260" s="15" t="s">
        <v>22</v>
      </c>
    </row>
    <row r="5261" spans="1:11" ht="42" customHeight="1">
      <c r="A5261" s="4" t="s">
        <v>12639</v>
      </c>
      <c r="B5261" s="5" t="s">
        <v>12640</v>
      </c>
      <c r="C5261" s="5" t="s">
        <v>57</v>
      </c>
      <c r="D5261" s="5" t="s">
        <v>58</v>
      </c>
      <c r="E5261" s="5" t="s">
        <v>1278</v>
      </c>
      <c r="F5261" s="9">
        <v>37</v>
      </c>
      <c r="G5261" s="9">
        <v>407</v>
      </c>
      <c r="H5261" s="5" t="s">
        <v>20</v>
      </c>
      <c r="I5261" s="5" t="s">
        <v>12641</v>
      </c>
      <c r="J5261" s="12" t="str">
        <f>HYPERLINK("https://www.boe.es/gazeta/dias/1804/05/08/pdfs/GMD-1804-37.pdf#page=5","Abrir facsímil")</f>
        <v>Abrir facsímil</v>
      </c>
      <c r="K5261" s="15" t="s">
        <v>22</v>
      </c>
    </row>
    <row r="5262" spans="1:11" ht="42" customHeight="1">
      <c r="A5262" s="4" t="s">
        <v>12642</v>
      </c>
      <c r="B5262" s="5" t="s">
        <v>12642</v>
      </c>
      <c r="C5262" s="5" t="s">
        <v>27</v>
      </c>
      <c r="D5262" s="5" t="s">
        <v>28</v>
      </c>
      <c r="E5262" s="5" t="s">
        <v>398</v>
      </c>
      <c r="F5262" s="9">
        <v>22</v>
      </c>
      <c r="G5262" s="9">
        <v>244</v>
      </c>
      <c r="H5262" s="5" t="s">
        <v>20</v>
      </c>
      <c r="I5262" s="5" t="s">
        <v>12643</v>
      </c>
      <c r="J5262" s="12" t="str">
        <f>HYPERLINK("https://www.boe.es/gazeta/dias/1804/03/16/pdfs/GMD-1804-22.pdf#page=8","Abrir facsímil")</f>
        <v>Abrir facsímil</v>
      </c>
      <c r="K5262" s="15" t="s">
        <v>22</v>
      </c>
    </row>
    <row r="5263" spans="1:11" ht="42" customHeight="1">
      <c r="A5263" s="4" t="s">
        <v>12644</v>
      </c>
      <c r="B5263" s="5" t="s">
        <v>12644</v>
      </c>
      <c r="C5263" s="5" t="s">
        <v>27</v>
      </c>
      <c r="D5263" s="5" t="s">
        <v>28</v>
      </c>
      <c r="E5263" s="5" t="s">
        <v>208</v>
      </c>
      <c r="F5263" s="9">
        <v>97</v>
      </c>
      <c r="G5263" s="9">
        <v>1081</v>
      </c>
      <c r="H5263" s="5" t="s">
        <v>20</v>
      </c>
      <c r="I5263" s="5" t="s">
        <v>12645</v>
      </c>
      <c r="J5263" s="12" t="str">
        <f>HYPERLINK("https://www.boe.es/gazeta/dias/1804/12/04/pdfs/GMD-1804-97.pdf#page=9","Abrir facsímil")</f>
        <v>Abrir facsímil</v>
      </c>
      <c r="K5263" s="15" t="s">
        <v>22</v>
      </c>
    </row>
    <row r="5264" spans="1:11" ht="42" customHeight="1">
      <c r="A5264" s="4" t="s">
        <v>12646</v>
      </c>
      <c r="B5264" s="5" t="s">
        <v>12646</v>
      </c>
      <c r="C5264" s="5" t="s">
        <v>65</v>
      </c>
      <c r="D5264" s="5" t="s">
        <v>66</v>
      </c>
      <c r="E5264" s="5" t="s">
        <v>208</v>
      </c>
      <c r="F5264" s="9">
        <v>97</v>
      </c>
      <c r="G5264" s="9">
        <v>1081</v>
      </c>
      <c r="H5264" s="5" t="s">
        <v>20</v>
      </c>
      <c r="I5264" s="5" t="s">
        <v>12647</v>
      </c>
      <c r="J5264" s="12" t="str">
        <f>HYPERLINK("https://www.boe.es/gazeta/dias/1804/12/04/pdfs/GMD-1804-97.pdf#page=9","Abrir facsímil")</f>
        <v>Abrir facsímil</v>
      </c>
      <c r="K5264" s="15" t="s">
        <v>22</v>
      </c>
    </row>
    <row r="5265" spans="1:11" ht="42" customHeight="1">
      <c r="A5265" s="4" t="s">
        <v>12648</v>
      </c>
      <c r="B5265" s="5" t="s">
        <v>12649</v>
      </c>
      <c r="C5265" s="5" t="s">
        <v>27</v>
      </c>
      <c r="D5265" s="5" t="s">
        <v>28</v>
      </c>
      <c r="E5265" s="5" t="s">
        <v>147</v>
      </c>
      <c r="F5265" s="9">
        <v>77</v>
      </c>
      <c r="G5265" s="9">
        <v>854</v>
      </c>
      <c r="H5265" s="5" t="s">
        <v>20</v>
      </c>
      <c r="I5265" s="5" t="s">
        <v>12650</v>
      </c>
      <c r="J5265" s="12" t="str">
        <f>HYPERLINK("https://www.boe.es/gazeta/dias/1804/09/25/pdfs/GMD-1804-77.pdf#page=4","Abrir facsímil")</f>
        <v>Abrir facsímil</v>
      </c>
      <c r="K5265" s="15" t="s">
        <v>22</v>
      </c>
    </row>
    <row r="5266" spans="1:11" ht="42" customHeight="1">
      <c r="A5266" s="4" t="s">
        <v>12651</v>
      </c>
      <c r="B5266" s="5" t="s">
        <v>12651</v>
      </c>
      <c r="C5266" s="5" t="s">
        <v>57</v>
      </c>
      <c r="D5266" s="5" t="s">
        <v>58</v>
      </c>
      <c r="E5266" s="5" t="s">
        <v>670</v>
      </c>
      <c r="F5266" s="9">
        <v>41</v>
      </c>
      <c r="G5266" s="9">
        <v>453</v>
      </c>
      <c r="H5266" s="5" t="s">
        <v>20</v>
      </c>
      <c r="I5266" s="5" t="s">
        <v>12652</v>
      </c>
      <c r="J5266" s="12" t="str">
        <f>HYPERLINK("https://www.boe.es/gazeta/dias/1804/05/22/pdfs/GMD-1804-41.pdf#page=3","Abrir facsímil")</f>
        <v>Abrir facsímil</v>
      </c>
      <c r="K5266" s="15" t="s">
        <v>22</v>
      </c>
    </row>
    <row r="5267" spans="1:11" ht="42" customHeight="1">
      <c r="A5267" s="4" t="s">
        <v>12651</v>
      </c>
      <c r="B5267" s="5" t="s">
        <v>12651</v>
      </c>
      <c r="C5267" s="5" t="s">
        <v>85</v>
      </c>
      <c r="D5267" s="5" t="s">
        <v>86</v>
      </c>
      <c r="E5267" s="5" t="s">
        <v>208</v>
      </c>
      <c r="F5267" s="9">
        <v>97</v>
      </c>
      <c r="G5267" s="9">
        <v>1076</v>
      </c>
      <c r="H5267" s="5" t="s">
        <v>20</v>
      </c>
      <c r="I5267" s="5" t="s">
        <v>12653</v>
      </c>
      <c r="J5267" s="12" t="str">
        <f>HYPERLINK("https://www.boe.es/gazeta/dias/1804/12/04/pdfs/GMD-1804-97.pdf#page=4","Abrir facsímil")</f>
        <v>Abrir facsímil</v>
      </c>
      <c r="K5267" s="15" t="s">
        <v>22</v>
      </c>
    </row>
    <row r="5268" spans="1:11" ht="42" customHeight="1">
      <c r="A5268" s="4" t="s">
        <v>12654</v>
      </c>
      <c r="B5268" s="5" t="s">
        <v>12654</v>
      </c>
      <c r="C5268" s="5" t="s">
        <v>57</v>
      </c>
      <c r="D5268" s="5" t="s">
        <v>58</v>
      </c>
      <c r="E5268" s="5" t="s">
        <v>298</v>
      </c>
      <c r="F5268" s="9">
        <v>10</v>
      </c>
      <c r="G5268" s="9">
        <v>105</v>
      </c>
      <c r="H5268" s="5" t="s">
        <v>20</v>
      </c>
      <c r="I5268" s="5" t="s">
        <v>12655</v>
      </c>
      <c r="J5268" s="12" t="str">
        <f>HYPERLINK("https://www.boe.es/gazeta/dias/1804/02/03/pdfs/GMD-1804-10.pdf#page=5","Abrir facsímil")</f>
        <v>Abrir facsímil</v>
      </c>
      <c r="K5268" s="15" t="s">
        <v>22</v>
      </c>
    </row>
    <row r="5269" spans="1:11" ht="42" customHeight="1">
      <c r="A5269" s="4" t="s">
        <v>12656</v>
      </c>
      <c r="B5269" s="5" t="s">
        <v>12656</v>
      </c>
      <c r="C5269" s="5" t="s">
        <v>27</v>
      </c>
      <c r="D5269" s="5" t="s">
        <v>28</v>
      </c>
      <c r="E5269" s="5" t="s">
        <v>132</v>
      </c>
      <c r="F5269" s="9">
        <v>52</v>
      </c>
      <c r="G5269" s="9">
        <v>570</v>
      </c>
      <c r="H5269" s="5" t="s">
        <v>20</v>
      </c>
      <c r="I5269" s="5" t="s">
        <v>12657</v>
      </c>
      <c r="J5269" s="12" t="str">
        <f>HYPERLINK("https://www.boe.es/gazeta/dias/1804/06/29/pdfs/GMD-1804-52.pdf#page=4","Abrir facsímil")</f>
        <v>Abrir facsímil</v>
      </c>
      <c r="K5269" s="15" t="s">
        <v>22</v>
      </c>
    </row>
    <row r="5270" spans="1:11" ht="42" customHeight="1">
      <c r="A5270" s="4" t="s">
        <v>12658</v>
      </c>
      <c r="B5270" s="5" t="s">
        <v>12659</v>
      </c>
      <c r="C5270" s="5" t="s">
        <v>27</v>
      </c>
      <c r="D5270" s="5" t="s">
        <v>28</v>
      </c>
      <c r="E5270" s="5" t="s">
        <v>234</v>
      </c>
      <c r="F5270" s="9">
        <v>86</v>
      </c>
      <c r="G5270" s="9">
        <v>948</v>
      </c>
      <c r="H5270" s="5" t="s">
        <v>20</v>
      </c>
      <c r="I5270" s="5" t="s">
        <v>12660</v>
      </c>
      <c r="J5270" s="12" t="str">
        <f>HYPERLINK("https://www.boe.es/gazeta/dias/1804/10/26/pdfs/GMD-1804-86.pdf#page=6","Abrir facsímil")</f>
        <v>Abrir facsímil</v>
      </c>
      <c r="K5270" s="15" t="s">
        <v>22</v>
      </c>
    </row>
    <row r="5271" spans="1:11" ht="42" customHeight="1">
      <c r="A5271" s="4" t="s">
        <v>12661</v>
      </c>
      <c r="B5271" s="5" t="s">
        <v>12661</v>
      </c>
      <c r="C5271" s="5" t="s">
        <v>57</v>
      </c>
      <c r="D5271" s="5" t="s">
        <v>58</v>
      </c>
      <c r="E5271" s="5" t="s">
        <v>298</v>
      </c>
      <c r="F5271" s="9">
        <v>10</v>
      </c>
      <c r="G5271" s="9">
        <v>104</v>
      </c>
      <c r="H5271" s="5" t="s">
        <v>20</v>
      </c>
      <c r="I5271" s="5" t="s">
        <v>12662</v>
      </c>
      <c r="J5271" s="12" t="str">
        <f>HYPERLINK("https://www.boe.es/gazeta/dias/1804/02/03/pdfs/GMD-1804-10.pdf#page=4","Abrir facsímil")</f>
        <v>Abrir facsímil</v>
      </c>
      <c r="K5271" s="15" t="s">
        <v>22</v>
      </c>
    </row>
    <row r="5272" spans="1:11" ht="42" customHeight="1">
      <c r="A5272" s="4" t="s">
        <v>12663</v>
      </c>
      <c r="B5272" s="5" t="s">
        <v>12663</v>
      </c>
      <c r="C5272" s="5" t="s">
        <v>57</v>
      </c>
      <c r="D5272" s="5" t="s">
        <v>58</v>
      </c>
      <c r="E5272" s="5" t="s">
        <v>245</v>
      </c>
      <c r="F5272" s="9">
        <v>6</v>
      </c>
      <c r="G5272" s="9">
        <v>54</v>
      </c>
      <c r="H5272" s="5" t="s">
        <v>20</v>
      </c>
      <c r="I5272" s="5" t="s">
        <v>12664</v>
      </c>
      <c r="J5272" s="12" t="str">
        <f>HYPERLINK("https://www.boe.es/gazeta/dias/1804/01/20/pdfs/GMD-1804-6.pdf#page=6","Abrir facsímil")</f>
        <v>Abrir facsímil</v>
      </c>
      <c r="K5272" s="15" t="s">
        <v>22</v>
      </c>
    </row>
    <row r="5273" spans="1:11" ht="42" customHeight="1">
      <c r="A5273" s="4" t="s">
        <v>12663</v>
      </c>
      <c r="B5273" s="5" t="s">
        <v>12663</v>
      </c>
      <c r="C5273" s="5" t="s">
        <v>57</v>
      </c>
      <c r="D5273" s="5" t="s">
        <v>58</v>
      </c>
      <c r="E5273" s="5" t="s">
        <v>1337</v>
      </c>
      <c r="F5273" s="9">
        <v>7</v>
      </c>
      <c r="G5273" s="9">
        <v>64</v>
      </c>
      <c r="H5273" s="5" t="s">
        <v>20</v>
      </c>
      <c r="I5273" s="5" t="s">
        <v>12665</v>
      </c>
      <c r="J5273" s="12" t="str">
        <f>HYPERLINK("https://www.boe.es/gazeta/dias/1804/01/24/pdfs/GMD-1804-7.pdf#page=4","Abrir facsímil")</f>
        <v>Abrir facsímil</v>
      </c>
      <c r="K5273" s="15" t="s">
        <v>22</v>
      </c>
    </row>
    <row r="5274" spans="1:11" ht="42" customHeight="1">
      <c r="A5274" s="4" t="s">
        <v>12663</v>
      </c>
      <c r="B5274" s="5" t="s">
        <v>12663</v>
      </c>
      <c r="C5274" s="5" t="s">
        <v>57</v>
      </c>
      <c r="D5274" s="5" t="s">
        <v>58</v>
      </c>
      <c r="E5274" s="5" t="s">
        <v>87</v>
      </c>
      <c r="F5274" s="9">
        <v>9</v>
      </c>
      <c r="G5274" s="9">
        <v>93</v>
      </c>
      <c r="H5274" s="5" t="s">
        <v>20</v>
      </c>
      <c r="I5274" s="5" t="s">
        <v>12666</v>
      </c>
      <c r="J5274" s="12" t="str">
        <f>HYPERLINK("https://www.boe.es/gazeta/dias/1804/01/31/pdfs/GMD-1804-9.pdf#page=5","Abrir facsímil")</f>
        <v>Abrir facsímil</v>
      </c>
      <c r="K5274" s="15" t="s">
        <v>22</v>
      </c>
    </row>
    <row r="5275" spans="1:11" ht="42" customHeight="1">
      <c r="A5275" s="4" t="s">
        <v>12663</v>
      </c>
      <c r="B5275" s="5" t="s">
        <v>12663</v>
      </c>
      <c r="C5275" s="5" t="s">
        <v>27</v>
      </c>
      <c r="D5275" s="5" t="s">
        <v>28</v>
      </c>
      <c r="E5275" s="5" t="s">
        <v>453</v>
      </c>
      <c r="F5275" s="9">
        <v>33</v>
      </c>
      <c r="G5275" s="9">
        <v>364</v>
      </c>
      <c r="H5275" s="5" t="s">
        <v>20</v>
      </c>
      <c r="I5275" s="5" t="s">
        <v>12667</v>
      </c>
      <c r="J5275" s="12" t="str">
        <f>HYPERLINK("https://www.boe.es/gazeta/dias/1804/04/24/pdfs/GMD-1804-33.pdf#page=6","Abrir facsímil")</f>
        <v>Abrir facsímil</v>
      </c>
      <c r="K5275" s="15" t="s">
        <v>22</v>
      </c>
    </row>
    <row r="5276" spans="1:11" ht="42" customHeight="1">
      <c r="A5276" s="4" t="s">
        <v>12663</v>
      </c>
      <c r="B5276" s="5" t="s">
        <v>12663</v>
      </c>
      <c r="C5276" s="5" t="s">
        <v>198</v>
      </c>
      <c r="D5276" s="5" t="s">
        <v>66</v>
      </c>
      <c r="E5276" s="5" t="s">
        <v>172</v>
      </c>
      <c r="F5276" s="9">
        <v>38</v>
      </c>
      <c r="G5276" s="9">
        <v>419</v>
      </c>
      <c r="H5276" s="5" t="s">
        <v>20</v>
      </c>
      <c r="I5276" s="5" t="s">
        <v>12668</v>
      </c>
      <c r="J5276" s="12" t="str">
        <f>HYPERLINK("https://www.boe.es/gazeta/dias/1804/05/11/pdfs/GMD-1804-38.pdf#page=5","Abrir facsímil")</f>
        <v>Abrir facsímil</v>
      </c>
      <c r="K5276" s="15" t="s">
        <v>22</v>
      </c>
    </row>
    <row r="5277" spans="1:11" ht="42" customHeight="1">
      <c r="A5277" s="4" t="s">
        <v>12663</v>
      </c>
      <c r="B5277" s="5" t="s">
        <v>12663</v>
      </c>
      <c r="C5277" s="5" t="s">
        <v>57</v>
      </c>
      <c r="D5277" s="5" t="s">
        <v>58</v>
      </c>
      <c r="E5277" s="5" t="s">
        <v>800</v>
      </c>
      <c r="F5277" s="9">
        <v>45</v>
      </c>
      <c r="G5277" s="9">
        <v>495</v>
      </c>
      <c r="H5277" s="5" t="s">
        <v>20</v>
      </c>
      <c r="I5277" s="5" t="s">
        <v>12669</v>
      </c>
      <c r="J5277" s="12" t="str">
        <f>HYPERLINK("https://www.boe.es/gazeta/dias/1804/06/05/pdfs/GMD-1804-45.pdf#page=5","Abrir facsímil")</f>
        <v>Abrir facsímil</v>
      </c>
      <c r="K5277" s="15" t="s">
        <v>22</v>
      </c>
    </row>
    <row r="5278" spans="1:11" ht="42" customHeight="1">
      <c r="A5278" s="4" t="s">
        <v>12663</v>
      </c>
      <c r="B5278" s="5" t="s">
        <v>12663</v>
      </c>
      <c r="C5278" s="5" t="s">
        <v>57</v>
      </c>
      <c r="D5278" s="5" t="s">
        <v>58</v>
      </c>
      <c r="E5278" s="5" t="s">
        <v>199</v>
      </c>
      <c r="F5278" s="9">
        <v>46</v>
      </c>
      <c r="G5278" s="9">
        <v>509</v>
      </c>
      <c r="H5278" s="5" t="s">
        <v>20</v>
      </c>
      <c r="I5278" s="5" t="s">
        <v>12670</v>
      </c>
      <c r="J5278" s="12" t="str">
        <f>HYPERLINK("https://www.boe.es/gazeta/dias/1804/06/08/pdfs/GMD-1804-46.pdf#page=7","Abrir facsímil")</f>
        <v>Abrir facsímil</v>
      </c>
      <c r="K5278" s="15" t="s">
        <v>22</v>
      </c>
    </row>
    <row r="5279" spans="1:11" ht="42" customHeight="1">
      <c r="A5279" s="4" t="s">
        <v>12663</v>
      </c>
      <c r="B5279" s="5" t="s">
        <v>12663</v>
      </c>
      <c r="C5279" s="5" t="s">
        <v>27</v>
      </c>
      <c r="D5279" s="5" t="s">
        <v>28</v>
      </c>
      <c r="E5279" s="5" t="s">
        <v>421</v>
      </c>
      <c r="F5279" s="9">
        <v>47</v>
      </c>
      <c r="G5279" s="9">
        <v>524</v>
      </c>
      <c r="H5279" s="5" t="s">
        <v>20</v>
      </c>
      <c r="I5279" s="5" t="s">
        <v>12671</v>
      </c>
      <c r="J5279" s="12" t="str">
        <f>HYPERLINK("https://www.boe.es/gazeta/dias/1804/06/12/pdfs/GMD-1804-47.pdf#page=6","Abrir facsímil")</f>
        <v>Abrir facsímil</v>
      </c>
      <c r="K5279" s="15" t="s">
        <v>22</v>
      </c>
    </row>
    <row r="5280" spans="1:11" ht="42" customHeight="1">
      <c r="A5280" s="4" t="s">
        <v>12672</v>
      </c>
      <c r="B5280" s="5" t="s">
        <v>12672</v>
      </c>
      <c r="C5280" s="5" t="s">
        <v>57</v>
      </c>
      <c r="D5280" s="5" t="s">
        <v>58</v>
      </c>
      <c r="E5280" s="5" t="s">
        <v>54</v>
      </c>
      <c r="F5280" s="9">
        <v>63</v>
      </c>
      <c r="G5280" s="9">
        <v>695</v>
      </c>
      <c r="H5280" s="5" t="s">
        <v>20</v>
      </c>
      <c r="I5280" s="5" t="s">
        <v>12673</v>
      </c>
      <c r="J5280" s="12" t="str">
        <f>HYPERLINK("https://www.boe.es/gazeta/dias/1804/08/07/pdfs/GMD-1804-63.pdf#page=5","Abrir facsímil")</f>
        <v>Abrir facsímil</v>
      </c>
      <c r="K5280" s="15" t="s">
        <v>22</v>
      </c>
    </row>
    <row r="5281" spans="1:11" ht="42" customHeight="1">
      <c r="A5281" s="4" t="s">
        <v>12674</v>
      </c>
      <c r="B5281" s="5" t="s">
        <v>12675</v>
      </c>
      <c r="C5281" s="5" t="s">
        <v>57</v>
      </c>
      <c r="D5281" s="5" t="s">
        <v>58</v>
      </c>
      <c r="E5281" s="5" t="s">
        <v>226</v>
      </c>
      <c r="F5281" s="9">
        <v>17</v>
      </c>
      <c r="G5281" s="9">
        <v>182</v>
      </c>
      <c r="H5281" s="5" t="s">
        <v>20</v>
      </c>
      <c r="I5281" s="5" t="s">
        <v>12676</v>
      </c>
      <c r="J5281" s="12" t="str">
        <f>HYPERLINK("https://www.boe.es/gazeta/dias/1804/02/28/pdfs/GMD-1804-17.pdf#page=2","Abrir facsímil")</f>
        <v>Abrir facsímil</v>
      </c>
      <c r="K5281" s="15" t="s">
        <v>22</v>
      </c>
    </row>
    <row r="5282" spans="1:11" ht="42" customHeight="1">
      <c r="A5282" s="4" t="s">
        <v>12677</v>
      </c>
      <c r="B5282" s="5" t="s">
        <v>12677</v>
      </c>
      <c r="C5282" s="5" t="s">
        <v>17</v>
      </c>
      <c r="D5282" s="5" t="s">
        <v>18</v>
      </c>
      <c r="E5282" s="5" t="s">
        <v>216</v>
      </c>
      <c r="F5282" s="9">
        <v>67</v>
      </c>
      <c r="G5282" s="9">
        <v>748</v>
      </c>
      <c r="H5282" s="5" t="s">
        <v>20</v>
      </c>
      <c r="I5282" s="5" t="s">
        <v>12678</v>
      </c>
      <c r="J5282" s="12" t="str">
        <f>HYPERLINK("https://www.boe.es/gazeta/dias/1804/08/21/pdfs/GMD-1804-67.pdf#page=6","Abrir facsímil")</f>
        <v>Abrir facsímil</v>
      </c>
      <c r="K5282" s="15" t="s">
        <v>22</v>
      </c>
    </row>
    <row r="5283" spans="1:11" ht="42" customHeight="1">
      <c r="A5283" s="4" t="s">
        <v>12679</v>
      </c>
      <c r="B5283" s="5" t="s">
        <v>12680</v>
      </c>
      <c r="C5283" s="5" t="s">
        <v>57</v>
      </c>
      <c r="D5283" s="5" t="s">
        <v>58</v>
      </c>
      <c r="E5283" s="5" t="s">
        <v>320</v>
      </c>
      <c r="F5283" s="9">
        <v>31</v>
      </c>
      <c r="G5283" s="9">
        <v>337</v>
      </c>
      <c r="H5283" s="5" t="s">
        <v>20</v>
      </c>
      <c r="I5283" s="5" t="s">
        <v>12681</v>
      </c>
      <c r="J5283" s="12" t="str">
        <f>HYPERLINK("https://www.boe.es/gazeta/dias/1804/04/17/pdfs/GMD-1804-31.pdf#page=3","Abrir facsímil")</f>
        <v>Abrir facsímil</v>
      </c>
      <c r="K5283" s="15" t="s">
        <v>22</v>
      </c>
    </row>
    <row r="5284" spans="1:11" ht="42" customHeight="1">
      <c r="A5284" s="4" t="s">
        <v>12682</v>
      </c>
      <c r="B5284" s="5" t="s">
        <v>12683</v>
      </c>
      <c r="C5284" s="5" t="s">
        <v>57</v>
      </c>
      <c r="D5284" s="5" t="s">
        <v>58</v>
      </c>
      <c r="E5284" s="5" t="s">
        <v>317</v>
      </c>
      <c r="F5284" s="9">
        <v>56</v>
      </c>
      <c r="G5284" s="9">
        <v>615</v>
      </c>
      <c r="H5284" s="5" t="s">
        <v>20</v>
      </c>
      <c r="I5284" s="5" t="s">
        <v>12684</v>
      </c>
      <c r="J5284" s="12" t="str">
        <f>HYPERLINK("https://www.boe.es/gazeta/dias/1804/07/13/pdfs/GMD-1804-56.pdf#page=1","Abrir facsímil")</f>
        <v>Abrir facsímil</v>
      </c>
      <c r="K5284" s="15" t="s">
        <v>22</v>
      </c>
    </row>
    <row r="5285" spans="1:11" ht="42" customHeight="1">
      <c r="A5285" s="4" t="s">
        <v>12685</v>
      </c>
      <c r="B5285" s="5" t="s">
        <v>12685</v>
      </c>
      <c r="C5285" s="5" t="s">
        <v>27</v>
      </c>
      <c r="D5285" s="5" t="s">
        <v>28</v>
      </c>
      <c r="E5285" s="5" t="s">
        <v>91</v>
      </c>
      <c r="F5285" s="9">
        <v>72</v>
      </c>
      <c r="G5285" s="9">
        <v>804</v>
      </c>
      <c r="H5285" s="5" t="s">
        <v>20</v>
      </c>
      <c r="I5285" s="5" t="s">
        <v>12686</v>
      </c>
      <c r="J5285" s="12" t="str">
        <f>HYPERLINK("https://www.boe.es/gazeta/dias/1804/09/07/pdfs/GMD-1804-72.pdf#page=6","Abrir facsímil")</f>
        <v>Abrir facsímil</v>
      </c>
      <c r="K5285" s="15" t="s">
        <v>22</v>
      </c>
    </row>
    <row r="5286" spans="1:11" ht="42" customHeight="1">
      <c r="A5286" s="4" t="s">
        <v>12687</v>
      </c>
      <c r="B5286" s="5" t="s">
        <v>12688</v>
      </c>
      <c r="C5286" s="5" t="s">
        <v>17</v>
      </c>
      <c r="D5286" s="5" t="s">
        <v>18</v>
      </c>
      <c r="E5286" s="5" t="s">
        <v>367</v>
      </c>
      <c r="F5286" s="9">
        <v>64</v>
      </c>
      <c r="G5286" s="9">
        <v>716</v>
      </c>
      <c r="H5286" s="5" t="s">
        <v>20</v>
      </c>
      <c r="I5286" s="5" t="s">
        <v>12689</v>
      </c>
      <c r="J5286" s="12" t="str">
        <f>HYPERLINK("https://www.boe.es/gazeta/dias/1804/08/10/pdfs/GMD-1804-64.pdf#page=10","Abrir facsímil")</f>
        <v>Abrir facsímil</v>
      </c>
      <c r="K5286" s="15" t="s">
        <v>22</v>
      </c>
    </row>
    <row r="5287" spans="1:11" ht="42" customHeight="1">
      <c r="A5287" s="4" t="s">
        <v>12690</v>
      </c>
      <c r="B5287" s="5" t="s">
        <v>12691</v>
      </c>
      <c r="C5287" s="5" t="s">
        <v>198</v>
      </c>
      <c r="D5287" s="5" t="s">
        <v>66</v>
      </c>
      <c r="E5287" s="5" t="s">
        <v>547</v>
      </c>
      <c r="F5287" s="9">
        <v>68</v>
      </c>
      <c r="G5287" s="9">
        <v>766</v>
      </c>
      <c r="H5287" s="5" t="s">
        <v>20</v>
      </c>
      <c r="I5287" s="5" t="s">
        <v>12692</v>
      </c>
      <c r="J5287" s="12" t="str">
        <f>HYPERLINK("https://www.boe.es/gazeta/dias/1804/08/24/pdfs/GMD-1804-68.pdf#page=12","Abrir facsímil")</f>
        <v>Abrir facsímil</v>
      </c>
      <c r="K5287" s="15" t="s">
        <v>22</v>
      </c>
    </row>
    <row r="5288" spans="1:11" ht="42" customHeight="1">
      <c r="A5288" s="4" t="s">
        <v>12693</v>
      </c>
      <c r="B5288" s="5" t="s">
        <v>12694</v>
      </c>
      <c r="C5288" s="5" t="s">
        <v>27</v>
      </c>
      <c r="D5288" s="5" t="s">
        <v>28</v>
      </c>
      <c r="E5288" s="5" t="s">
        <v>298</v>
      </c>
      <c r="F5288" s="9">
        <v>10</v>
      </c>
      <c r="G5288" s="9">
        <v>109</v>
      </c>
      <c r="H5288" s="5" t="s">
        <v>20</v>
      </c>
      <c r="I5288" s="5" t="s">
        <v>12695</v>
      </c>
      <c r="J5288" s="12" t="str">
        <f>HYPERLINK("https://www.boe.es/gazeta/dias/1804/02/03/pdfs/GMD-1804-10.pdf#page=9","Abrir facsímil")</f>
        <v>Abrir facsímil</v>
      </c>
      <c r="K5288" s="15" t="s">
        <v>22</v>
      </c>
    </row>
    <row r="5289" spans="1:11" ht="42" customHeight="1">
      <c r="A5289" s="4" t="s">
        <v>12696</v>
      </c>
      <c r="B5289" s="5" t="s">
        <v>12696</v>
      </c>
      <c r="C5289" s="5" t="s">
        <v>17</v>
      </c>
      <c r="D5289" s="5" t="s">
        <v>18</v>
      </c>
      <c r="E5289" s="5" t="s">
        <v>354</v>
      </c>
      <c r="F5289" s="9">
        <v>1</v>
      </c>
      <c r="G5289" s="9">
        <v>8</v>
      </c>
      <c r="H5289" s="5" t="s">
        <v>20</v>
      </c>
      <c r="I5289" s="5" t="s">
        <v>12697</v>
      </c>
      <c r="J5289" s="12" t="str">
        <f>HYPERLINK("https://www.boe.es/gazeta/dias/1804/01/03/pdfs/GMD-1804-1.pdf#page=8","Abrir facsímil")</f>
        <v>Abrir facsímil</v>
      </c>
      <c r="K5289" s="15" t="s">
        <v>22</v>
      </c>
    </row>
    <row r="5290" spans="1:11" ht="42" customHeight="1">
      <c r="A5290" s="4" t="s">
        <v>12698</v>
      </c>
      <c r="B5290" s="5" t="s">
        <v>12698</v>
      </c>
      <c r="C5290" s="5" t="s">
        <v>27</v>
      </c>
      <c r="D5290" s="5" t="s">
        <v>28</v>
      </c>
      <c r="E5290" s="5" t="s">
        <v>699</v>
      </c>
      <c r="F5290" s="9">
        <v>2</v>
      </c>
      <c r="G5290" s="9">
        <v>17</v>
      </c>
      <c r="H5290" s="5" t="s">
        <v>20</v>
      </c>
      <c r="I5290" s="5" t="s">
        <v>12699</v>
      </c>
      <c r="J5290" s="12" t="str">
        <f>HYPERLINK("https://www.boe.es/gazeta/dias/1804/01/06/pdfs/GMD-1804-2.pdf#page=5","Abrir facsímil")</f>
        <v>Abrir facsímil</v>
      </c>
      <c r="K5290" s="15" t="s">
        <v>22</v>
      </c>
    </row>
    <row r="5291" spans="1:11" ht="42" customHeight="1">
      <c r="A5291" s="4" t="s">
        <v>12700</v>
      </c>
      <c r="B5291" s="5" t="s">
        <v>12701</v>
      </c>
      <c r="C5291" s="5" t="s">
        <v>17</v>
      </c>
      <c r="D5291" s="5" t="s">
        <v>18</v>
      </c>
      <c r="E5291" s="5" t="s">
        <v>47</v>
      </c>
      <c r="F5291" s="9">
        <v>78</v>
      </c>
      <c r="G5291" s="9">
        <v>869</v>
      </c>
      <c r="H5291" s="5" t="s">
        <v>20</v>
      </c>
      <c r="I5291" s="5" t="s">
        <v>12702</v>
      </c>
      <c r="J5291" s="12" t="str">
        <f>HYPERLINK("https://www.boe.es/gazeta/dias/1804/09/28/pdfs/GMD-1804-78.pdf#page=7","Abrir facsímil")</f>
        <v>Abrir facsímil</v>
      </c>
      <c r="K5291" s="15" t="s">
        <v>22</v>
      </c>
    </row>
    <row r="5292" spans="1:11" ht="42" customHeight="1">
      <c r="A5292" s="4" t="s">
        <v>12703</v>
      </c>
      <c r="B5292" s="5" t="s">
        <v>12704</v>
      </c>
      <c r="C5292" s="5" t="s">
        <v>27</v>
      </c>
      <c r="D5292" s="5" t="s">
        <v>28</v>
      </c>
      <c r="E5292" s="5" t="s">
        <v>222</v>
      </c>
      <c r="F5292" s="9">
        <v>4</v>
      </c>
      <c r="G5292" s="9">
        <v>38</v>
      </c>
      <c r="H5292" s="5" t="s">
        <v>20</v>
      </c>
      <c r="I5292" s="5" t="s">
        <v>12705</v>
      </c>
      <c r="J5292" s="12" t="str">
        <f>HYPERLINK("https://www.boe.es/gazeta/dias/1804/01/13/pdfs/GMD-1804-4.pdf#page=10","Abrir facsímil")</f>
        <v>Abrir facsímil</v>
      </c>
      <c r="K5292" s="15" t="s">
        <v>22</v>
      </c>
    </row>
    <row r="5293" spans="1:11" ht="42" customHeight="1">
      <c r="A5293" s="4" t="s">
        <v>12706</v>
      </c>
      <c r="B5293" s="5" t="s">
        <v>12707</v>
      </c>
      <c r="C5293" s="5" t="s">
        <v>85</v>
      </c>
      <c r="D5293" s="5" t="s">
        <v>86</v>
      </c>
      <c r="E5293" s="5" t="s">
        <v>50</v>
      </c>
      <c r="F5293" s="9">
        <v>93</v>
      </c>
      <c r="G5293" s="9">
        <v>1032</v>
      </c>
      <c r="H5293" s="5" t="s">
        <v>20</v>
      </c>
      <c r="I5293" s="5" t="s">
        <v>12708</v>
      </c>
      <c r="J5293" s="12" t="str">
        <f>HYPERLINK("https://www.boe.es/gazeta/dias/1804/11/20/pdfs/GMD-1804-93.pdf#page=8","Abrir facsímil")</f>
        <v>Abrir facsímil</v>
      </c>
      <c r="K5293" s="15" t="s">
        <v>22</v>
      </c>
    </row>
    <row r="5294" spans="1:11" ht="42" customHeight="1">
      <c r="A5294" s="4" t="s">
        <v>12709</v>
      </c>
      <c r="B5294" s="5" t="s">
        <v>12710</v>
      </c>
      <c r="C5294" s="5" t="s">
        <v>27</v>
      </c>
      <c r="D5294" s="5" t="s">
        <v>28</v>
      </c>
      <c r="E5294" s="5" t="s">
        <v>709</v>
      </c>
      <c r="F5294" s="9">
        <v>82</v>
      </c>
      <c r="G5294" s="9">
        <v>907</v>
      </c>
      <c r="H5294" s="5" t="s">
        <v>20</v>
      </c>
      <c r="I5294" s="5" t="s">
        <v>12711</v>
      </c>
      <c r="J5294" s="12" t="str">
        <f>HYPERLINK("https://www.boe.es/gazeta/dias/1804/10/12/pdfs/GMD-1804-82.pdf#page=9","Abrir facsímil")</f>
        <v>Abrir facsímil</v>
      </c>
      <c r="K5294" s="15" t="s">
        <v>22</v>
      </c>
    </row>
    <row r="5295" spans="1:11" ht="42" customHeight="1">
      <c r="A5295" s="4" t="s">
        <v>12712</v>
      </c>
      <c r="B5295" s="5" t="s">
        <v>12713</v>
      </c>
      <c r="C5295" s="5" t="s">
        <v>27</v>
      </c>
      <c r="D5295" s="5" t="s">
        <v>28</v>
      </c>
      <c r="E5295" s="5" t="s">
        <v>199</v>
      </c>
      <c r="F5295" s="9">
        <v>46</v>
      </c>
      <c r="G5295" s="9">
        <v>512</v>
      </c>
      <c r="H5295" s="5" t="s">
        <v>20</v>
      </c>
      <c r="I5295" s="5" t="s">
        <v>12714</v>
      </c>
      <c r="J5295" s="12" t="str">
        <f>HYPERLINK("https://www.boe.es/gazeta/dias/1804/06/08/pdfs/GMD-1804-46.pdf#page=10","Abrir facsímil")</f>
        <v>Abrir facsímil</v>
      </c>
      <c r="K5295" s="15" t="s">
        <v>22</v>
      </c>
    </row>
    <row r="5296" spans="1:11" ht="42" customHeight="1">
      <c r="A5296" s="4" t="s">
        <v>12715</v>
      </c>
      <c r="B5296" s="5" t="s">
        <v>12716</v>
      </c>
      <c r="C5296" s="5" t="s">
        <v>198</v>
      </c>
      <c r="D5296" s="5" t="s">
        <v>66</v>
      </c>
      <c r="E5296" s="5" t="s">
        <v>37</v>
      </c>
      <c r="F5296" s="9">
        <v>29</v>
      </c>
      <c r="G5296" s="9">
        <v>319</v>
      </c>
      <c r="H5296" s="5" t="s">
        <v>20</v>
      </c>
      <c r="I5296" s="5" t="s">
        <v>12717</v>
      </c>
      <c r="J5296" s="12" t="str">
        <f>HYPERLINK("https://www.boe.es/gazeta/dias/1804/04/10/pdfs/GMD-1804-29.pdf#page=9","Abrir facsímil")</f>
        <v>Abrir facsímil</v>
      </c>
      <c r="K5296" s="15" t="s">
        <v>22</v>
      </c>
    </row>
    <row r="5297" spans="1:11" ht="42" customHeight="1">
      <c r="A5297" s="4" t="s">
        <v>12718</v>
      </c>
      <c r="B5297" s="5" t="s">
        <v>12719</v>
      </c>
      <c r="C5297" s="5" t="s">
        <v>27</v>
      </c>
      <c r="D5297" s="5" t="s">
        <v>28</v>
      </c>
      <c r="E5297" s="5" t="s">
        <v>241</v>
      </c>
      <c r="F5297" s="9">
        <v>71</v>
      </c>
      <c r="G5297" s="9">
        <v>797</v>
      </c>
      <c r="H5297" s="5" t="s">
        <v>20</v>
      </c>
      <c r="I5297" s="5" t="s">
        <v>12720</v>
      </c>
      <c r="J5297" s="12" t="str">
        <f>HYPERLINK("https://www.boe.es/gazeta/dias/1804/09/04/pdfs/GMD-C-1804-71.pdf#page=3","Abrir facsímil")</f>
        <v>Abrir facsímil</v>
      </c>
      <c r="K5297" s="15" t="s">
        <v>22</v>
      </c>
    </row>
    <row r="5298" spans="1:11" ht="42" customHeight="1">
      <c r="A5298" s="4" t="s">
        <v>12721</v>
      </c>
      <c r="B5298" s="5" t="s">
        <v>12722</v>
      </c>
      <c r="C5298" s="5" t="s">
        <v>262</v>
      </c>
      <c r="D5298" s="5" t="s">
        <v>263</v>
      </c>
      <c r="E5298" s="5" t="s">
        <v>398</v>
      </c>
      <c r="F5298" s="9">
        <v>22</v>
      </c>
      <c r="G5298" s="9">
        <v>250</v>
      </c>
      <c r="H5298" s="5" t="s">
        <v>20</v>
      </c>
      <c r="I5298" s="5" t="s">
        <v>12723</v>
      </c>
      <c r="J5298" s="12" t="str">
        <f>HYPERLINK("https://www.boe.es/gazeta/dias/1804/03/16/pdfs/GMD-C-1804-22.pdf#page=2","Abrir facsímil")</f>
        <v>Abrir facsímil</v>
      </c>
      <c r="K5298" s="15" t="s">
        <v>22</v>
      </c>
    </row>
    <row r="5299" spans="1:11" ht="42" customHeight="1">
      <c r="A5299" s="4" t="s">
        <v>12721</v>
      </c>
      <c r="B5299" s="5" t="s">
        <v>12722</v>
      </c>
      <c r="C5299" s="5" t="s">
        <v>262</v>
      </c>
      <c r="D5299" s="5" t="s">
        <v>263</v>
      </c>
      <c r="E5299" s="5" t="s">
        <v>666</v>
      </c>
      <c r="F5299" s="9">
        <v>57</v>
      </c>
      <c r="G5299" s="9">
        <v>636</v>
      </c>
      <c r="H5299" s="5" t="s">
        <v>20</v>
      </c>
      <c r="I5299" s="5" t="s">
        <v>12724</v>
      </c>
      <c r="J5299" s="12" t="str">
        <f>HYPERLINK("https://www.boe.es/gazeta/dias/1804/07/17/pdfs/GMD-C-1804-57.pdf#page=2","Abrir facsímil")</f>
        <v>Abrir facsímil</v>
      </c>
      <c r="K5299" s="15" t="s">
        <v>22</v>
      </c>
    </row>
    <row r="5300" spans="1:11" ht="42" customHeight="1">
      <c r="A5300" s="4" t="s">
        <v>12721</v>
      </c>
      <c r="B5300" s="5" t="s">
        <v>12722</v>
      </c>
      <c r="C5300" s="5" t="s">
        <v>17</v>
      </c>
      <c r="D5300" s="5" t="s">
        <v>18</v>
      </c>
      <c r="E5300" s="5" t="s">
        <v>155</v>
      </c>
      <c r="F5300" s="9">
        <v>92</v>
      </c>
      <c r="G5300" s="9">
        <v>1022</v>
      </c>
      <c r="H5300" s="5" t="s">
        <v>20</v>
      </c>
      <c r="I5300" s="5" t="s">
        <v>12725</v>
      </c>
      <c r="J5300" s="12" t="str">
        <f>HYPERLINK("https://www.boe.es/gazeta/dias/1804/11/16/pdfs/GMD-1804-92.pdf#page=10","Abrir facsímil")</f>
        <v>Abrir facsímil</v>
      </c>
      <c r="K5300" s="15" t="s">
        <v>22</v>
      </c>
    </row>
    <row r="5301" spans="1:11" ht="42" customHeight="1">
      <c r="A5301" s="4" t="s">
        <v>12726</v>
      </c>
      <c r="B5301" s="5" t="s">
        <v>12727</v>
      </c>
      <c r="C5301" s="5" t="s">
        <v>27</v>
      </c>
      <c r="D5301" s="5" t="s">
        <v>28</v>
      </c>
      <c r="E5301" s="5" t="s">
        <v>736</v>
      </c>
      <c r="F5301" s="9">
        <v>83</v>
      </c>
      <c r="G5301" s="9">
        <v>919</v>
      </c>
      <c r="H5301" s="5" t="s">
        <v>20</v>
      </c>
      <c r="I5301" s="5" t="s">
        <v>12728</v>
      </c>
      <c r="J5301" s="12" t="str">
        <f>HYPERLINK("https://www.boe.es/gazeta/dias/1804/10/16/pdfs/GMD-1804-83.pdf#page=9","Abrir facsímil")</f>
        <v>Abrir facsímil</v>
      </c>
      <c r="K5301" s="15" t="s">
        <v>22</v>
      </c>
    </row>
    <row r="5302" spans="1:11" ht="42" customHeight="1">
      <c r="A5302" s="4" t="s">
        <v>12729</v>
      </c>
      <c r="B5302" s="5" t="s">
        <v>12730</v>
      </c>
      <c r="C5302" s="5" t="s">
        <v>85</v>
      </c>
      <c r="D5302" s="5" t="s">
        <v>86</v>
      </c>
      <c r="E5302" s="5" t="s">
        <v>699</v>
      </c>
      <c r="F5302" s="9">
        <v>2</v>
      </c>
      <c r="G5302" s="9">
        <v>20</v>
      </c>
      <c r="H5302" s="5" t="s">
        <v>20</v>
      </c>
      <c r="I5302" s="5" t="s">
        <v>12731</v>
      </c>
      <c r="J5302" s="12" t="str">
        <f>HYPERLINK("https://www.boe.es/gazeta/dias/1804/01/06/pdfs/GMD-1804-2.pdf#page=8","Abrir facsímil")</f>
        <v>Abrir facsímil</v>
      </c>
      <c r="K5302" s="15" t="s">
        <v>22</v>
      </c>
    </row>
    <row r="5303" spans="1:11" ht="42" customHeight="1">
      <c r="A5303" s="4" t="s">
        <v>12732</v>
      </c>
      <c r="B5303" s="5" t="s">
        <v>12733</v>
      </c>
      <c r="C5303" s="5" t="s">
        <v>27</v>
      </c>
      <c r="D5303" s="5" t="s">
        <v>28</v>
      </c>
      <c r="E5303" s="5" t="s">
        <v>23</v>
      </c>
      <c r="F5303" s="9">
        <v>91</v>
      </c>
      <c r="G5303" s="9">
        <v>1009</v>
      </c>
      <c r="H5303" s="5" t="s">
        <v>20</v>
      </c>
      <c r="I5303" s="5" t="s">
        <v>12734</v>
      </c>
      <c r="J5303" s="12" t="str">
        <f>HYPERLINK("https://www.boe.es/gazeta/dias/1804/11/13/pdfs/GMD-1804-91.pdf#page=9","Abrir facsímil")</f>
        <v>Abrir facsímil</v>
      </c>
      <c r="K5303" s="15" t="s">
        <v>22</v>
      </c>
    </row>
    <row r="5304" spans="1:11" ht="42" customHeight="1">
      <c r="A5304" s="4" t="s">
        <v>12735</v>
      </c>
      <c r="B5304" s="5" t="s">
        <v>12736</v>
      </c>
      <c r="C5304" s="5" t="s">
        <v>262</v>
      </c>
      <c r="D5304" s="5" t="s">
        <v>263</v>
      </c>
      <c r="E5304" s="5" t="s">
        <v>226</v>
      </c>
      <c r="F5304" s="9">
        <v>17</v>
      </c>
      <c r="G5304" s="9" t="s">
        <v>122</v>
      </c>
      <c r="H5304" s="5" t="s">
        <v>20</v>
      </c>
      <c r="I5304" s="5" t="s">
        <v>12737</v>
      </c>
      <c r="J5304" s="12" t="str">
        <f>HYPERLINK("https://www.boe.es/gazeta/dias/1804/02/28/pdfs/GMD-C-1804-17.pdf#page=3","Abrir facsímil")</f>
        <v>Abrir facsímil</v>
      </c>
      <c r="K5304" s="15" t="s">
        <v>6492</v>
      </c>
    </row>
    <row r="5305" spans="1:11" ht="42" customHeight="1">
      <c r="A5305" s="4" t="s">
        <v>12738</v>
      </c>
      <c r="B5305" s="5" t="s">
        <v>12739</v>
      </c>
      <c r="C5305" s="5" t="s">
        <v>17</v>
      </c>
      <c r="D5305" s="5" t="s">
        <v>18</v>
      </c>
      <c r="E5305" s="5" t="s">
        <v>77</v>
      </c>
      <c r="F5305" s="9">
        <v>32</v>
      </c>
      <c r="G5305" s="9">
        <v>356</v>
      </c>
      <c r="H5305" s="5" t="s">
        <v>20</v>
      </c>
      <c r="I5305" s="5" t="s">
        <v>12740</v>
      </c>
      <c r="J5305" s="12" t="str">
        <f>HYPERLINK("https://www.boe.es/gazeta/dias/1804/04/20/pdfs/GMD-1804-32.pdf#page=10","Abrir facsímil")</f>
        <v>Abrir facsímil</v>
      </c>
      <c r="K5305" s="15" t="s">
        <v>22</v>
      </c>
    </row>
    <row r="5306" spans="1:11" ht="42" customHeight="1">
      <c r="A5306" s="4" t="s">
        <v>12741</v>
      </c>
      <c r="B5306" s="5" t="s">
        <v>12742</v>
      </c>
      <c r="C5306" s="5" t="s">
        <v>198</v>
      </c>
      <c r="D5306" s="5" t="s">
        <v>66</v>
      </c>
      <c r="E5306" s="5" t="s">
        <v>132</v>
      </c>
      <c r="F5306" s="9">
        <v>52</v>
      </c>
      <c r="G5306" s="9">
        <v>576</v>
      </c>
      <c r="H5306" s="5" t="s">
        <v>20</v>
      </c>
      <c r="I5306" s="5" t="s">
        <v>12743</v>
      </c>
      <c r="J5306" s="12" t="str">
        <f>HYPERLINK("https://www.boe.es/gazeta/dias/1804/06/29/pdfs/GMD-1804-52.pdf#page=10","Abrir facsímil")</f>
        <v>Abrir facsímil</v>
      </c>
      <c r="K5306" s="15" t="s">
        <v>22</v>
      </c>
    </row>
    <row r="5307" spans="1:11" ht="42" customHeight="1">
      <c r="A5307" s="4" t="s">
        <v>12741</v>
      </c>
      <c r="B5307" s="5" t="s">
        <v>12742</v>
      </c>
      <c r="C5307" s="5" t="s">
        <v>65</v>
      </c>
      <c r="D5307" s="5" t="s">
        <v>66</v>
      </c>
      <c r="E5307" s="5" t="s">
        <v>241</v>
      </c>
      <c r="F5307" s="9">
        <v>71</v>
      </c>
      <c r="G5307" s="9">
        <v>793</v>
      </c>
      <c r="H5307" s="5" t="s">
        <v>20</v>
      </c>
      <c r="I5307" s="5" t="s">
        <v>12744</v>
      </c>
      <c r="J5307" s="12" t="str">
        <f>HYPERLINK("https://www.boe.es/gazeta/dias/1804/09/04/pdfs/GMD-1804-71.pdf#page=7","Abrir facsímil")</f>
        <v>Abrir facsímil</v>
      </c>
      <c r="K5307" s="15" t="s">
        <v>22</v>
      </c>
    </row>
    <row r="5308" spans="1:11" ht="42" customHeight="1">
      <c r="A5308" s="4" t="s">
        <v>12745</v>
      </c>
      <c r="B5308" s="5" t="s">
        <v>12746</v>
      </c>
      <c r="C5308" s="5" t="s">
        <v>65</v>
      </c>
      <c r="D5308" s="5" t="s">
        <v>66</v>
      </c>
      <c r="E5308" s="5" t="s">
        <v>147</v>
      </c>
      <c r="F5308" s="9">
        <v>77</v>
      </c>
      <c r="G5308" s="9">
        <v>858</v>
      </c>
      <c r="H5308" s="5" t="s">
        <v>20</v>
      </c>
      <c r="I5308" s="5" t="s">
        <v>12747</v>
      </c>
      <c r="J5308" s="12" t="str">
        <f>HYPERLINK("https://www.boe.es/gazeta/dias/1804/09/25/pdfs/GMD-1804-77.pdf#page=8","Abrir facsímil")</f>
        <v>Abrir facsímil</v>
      </c>
      <c r="K5308" s="15" t="s">
        <v>22</v>
      </c>
    </row>
    <row r="5309" spans="1:11" ht="42" customHeight="1">
      <c r="A5309" s="4" t="s">
        <v>12748</v>
      </c>
      <c r="B5309" s="5" t="s">
        <v>12749</v>
      </c>
      <c r="C5309" s="5" t="s">
        <v>65</v>
      </c>
      <c r="D5309" s="5" t="s">
        <v>66</v>
      </c>
      <c r="E5309" s="5" t="s">
        <v>350</v>
      </c>
      <c r="F5309" s="9">
        <v>19</v>
      </c>
      <c r="G5309" s="9">
        <v>211</v>
      </c>
      <c r="H5309" s="5" t="s">
        <v>20</v>
      </c>
      <c r="I5309" s="5" t="s">
        <v>12750</v>
      </c>
      <c r="J5309" s="12" t="str">
        <f>HYPERLINK("https://www.boe.es/gazeta/dias/1804/03/06/pdfs/GMD-1804-19.pdf#page=11","Abrir facsímil")</f>
        <v>Abrir facsímil</v>
      </c>
      <c r="K5309" s="15" t="s">
        <v>22</v>
      </c>
    </row>
    <row r="5310" spans="1:11" ht="42" customHeight="1">
      <c r="A5310" s="4" t="s">
        <v>12751</v>
      </c>
      <c r="B5310" s="5" t="s">
        <v>12752</v>
      </c>
      <c r="C5310" s="5" t="s">
        <v>65</v>
      </c>
      <c r="D5310" s="5" t="s">
        <v>66</v>
      </c>
      <c r="E5310" s="5" t="s">
        <v>67</v>
      </c>
      <c r="F5310" s="9">
        <v>59</v>
      </c>
      <c r="G5310" s="9">
        <v>656</v>
      </c>
      <c r="H5310" s="5" t="s">
        <v>20</v>
      </c>
      <c r="I5310" s="5" t="s">
        <v>12753</v>
      </c>
      <c r="J5310" s="12" t="str">
        <f>HYPERLINK("https://www.boe.es/gazeta/dias/1804/07/24/pdfs/GMD-1804-59.pdf#page=10","Abrir facsímil")</f>
        <v>Abrir facsímil</v>
      </c>
      <c r="K5310" s="15" t="s">
        <v>22</v>
      </c>
    </row>
    <row r="5311" spans="1:11" ht="42" customHeight="1">
      <c r="A5311" s="4" t="s">
        <v>12754</v>
      </c>
      <c r="B5311" s="5" t="s">
        <v>12755</v>
      </c>
      <c r="C5311" s="5" t="s">
        <v>27</v>
      </c>
      <c r="D5311" s="5" t="s">
        <v>28</v>
      </c>
      <c r="E5311" s="5" t="s">
        <v>666</v>
      </c>
      <c r="F5311" s="9">
        <v>57</v>
      </c>
      <c r="G5311" s="9">
        <v>632</v>
      </c>
      <c r="H5311" s="5" t="s">
        <v>20</v>
      </c>
      <c r="I5311" s="5" t="s">
        <v>12756</v>
      </c>
      <c r="J5311" s="12" t="str">
        <f>HYPERLINK("https://www.boe.es/gazeta/dias/1804/07/17/pdfs/GMD-1804-57.pdf#page=10","Abrir facsímil")</f>
        <v>Abrir facsímil</v>
      </c>
      <c r="K5311" s="15" t="s">
        <v>22</v>
      </c>
    </row>
    <row r="5312" spans="1:11" ht="42" customHeight="1">
      <c r="A5312" s="4" t="s">
        <v>12757</v>
      </c>
      <c r="B5312" s="5" t="s">
        <v>12758</v>
      </c>
      <c r="C5312" s="5" t="s">
        <v>27</v>
      </c>
      <c r="D5312" s="5" t="s">
        <v>28</v>
      </c>
      <c r="E5312" s="5" t="s">
        <v>678</v>
      </c>
      <c r="F5312" s="9">
        <v>104</v>
      </c>
      <c r="G5312" s="9">
        <v>1162</v>
      </c>
      <c r="H5312" s="5" t="s">
        <v>20</v>
      </c>
      <c r="I5312" s="5" t="s">
        <v>12759</v>
      </c>
      <c r="J5312" s="12" t="str">
        <f>HYPERLINK("https://www.boe.es/gazeta/dias/1804/12/28/pdfs/GMD-1804-104.pdf#page=10","Abrir facsímil")</f>
        <v>Abrir facsímil</v>
      </c>
      <c r="K5312" s="15" t="s">
        <v>22</v>
      </c>
    </row>
    <row r="5313" spans="1:11" ht="42" customHeight="1">
      <c r="A5313" s="4" t="s">
        <v>12760</v>
      </c>
      <c r="B5313" s="5" t="s">
        <v>12761</v>
      </c>
      <c r="C5313" s="5" t="s">
        <v>57</v>
      </c>
      <c r="D5313" s="5" t="s">
        <v>58</v>
      </c>
      <c r="E5313" s="5" t="s">
        <v>23</v>
      </c>
      <c r="F5313" s="9">
        <v>91</v>
      </c>
      <c r="G5313" s="9">
        <v>1003</v>
      </c>
      <c r="H5313" s="5" t="s">
        <v>20</v>
      </c>
      <c r="I5313" s="5" t="s">
        <v>12762</v>
      </c>
      <c r="J5313" s="12" t="str">
        <f>HYPERLINK("https://www.boe.es/gazeta/dias/1804/11/13/pdfs/GMD-1804-91.pdf#page=3","Abrir facsímil")</f>
        <v>Abrir facsímil</v>
      </c>
      <c r="K5313" s="15" t="s">
        <v>22</v>
      </c>
    </row>
    <row r="5314" spans="1:11" ht="42" customHeight="1">
      <c r="A5314" s="4" t="s">
        <v>12763</v>
      </c>
      <c r="B5314" s="5" t="s">
        <v>12764</v>
      </c>
      <c r="C5314" s="5" t="s">
        <v>57</v>
      </c>
      <c r="D5314" s="5" t="s">
        <v>58</v>
      </c>
      <c r="E5314" s="5" t="s">
        <v>576</v>
      </c>
      <c r="F5314" s="9">
        <v>85</v>
      </c>
      <c r="G5314" s="9">
        <v>937</v>
      </c>
      <c r="H5314" s="5" t="s">
        <v>20</v>
      </c>
      <c r="I5314" s="5" t="s">
        <v>12765</v>
      </c>
      <c r="J5314" s="12" t="str">
        <f>HYPERLINK("https://www.boe.es/gazeta/dias/1804/10/23/pdfs/GMD-1804-85.pdf#page=7","Abrir facsímil")</f>
        <v>Abrir facsímil</v>
      </c>
      <c r="K5314" s="15" t="s">
        <v>22</v>
      </c>
    </row>
    <row r="5315" spans="1:11" ht="42" customHeight="1">
      <c r="A5315" s="4" t="s">
        <v>12766</v>
      </c>
      <c r="B5315" s="5" t="s">
        <v>12766</v>
      </c>
      <c r="C5315" s="5" t="s">
        <v>57</v>
      </c>
      <c r="D5315" s="5" t="s">
        <v>58</v>
      </c>
      <c r="E5315" s="5" t="s">
        <v>1337</v>
      </c>
      <c r="F5315" s="9">
        <v>7</v>
      </c>
      <c r="G5315" s="9">
        <v>66</v>
      </c>
      <c r="H5315" s="5" t="s">
        <v>20</v>
      </c>
      <c r="I5315" s="5" t="s">
        <v>12767</v>
      </c>
      <c r="J5315" s="12" t="str">
        <f>HYPERLINK("https://www.boe.es/gazeta/dias/1804/01/24/pdfs/GMD-1804-7.pdf#page=6","Abrir facsímil")</f>
        <v>Abrir facsímil</v>
      </c>
      <c r="K5315" s="15" t="s">
        <v>22</v>
      </c>
    </row>
    <row r="5316" spans="1:11" ht="42" customHeight="1">
      <c r="A5316" s="4" t="s">
        <v>12768</v>
      </c>
      <c r="B5316" s="5" t="s">
        <v>12768</v>
      </c>
      <c r="C5316" s="5" t="s">
        <v>57</v>
      </c>
      <c r="D5316" s="5" t="s">
        <v>58</v>
      </c>
      <c r="E5316" s="5" t="s">
        <v>1449</v>
      </c>
      <c r="F5316" s="9">
        <v>8</v>
      </c>
      <c r="G5316" s="9">
        <v>80</v>
      </c>
      <c r="H5316" s="5" t="s">
        <v>20</v>
      </c>
      <c r="I5316" s="5" t="s">
        <v>12769</v>
      </c>
      <c r="J5316" s="12" t="str">
        <f>HYPERLINK("https://www.boe.es/gazeta/dias/1804/01/27/pdfs/GMD-1804-8.pdf#page=4","Abrir facsímil")</f>
        <v>Abrir facsímil</v>
      </c>
      <c r="K5316" s="15" t="s">
        <v>22</v>
      </c>
    </row>
    <row r="5317" spans="1:11" ht="42" customHeight="1">
      <c r="A5317" s="4" t="s">
        <v>12768</v>
      </c>
      <c r="B5317" s="5" t="s">
        <v>12768</v>
      </c>
      <c r="C5317" s="5" t="s">
        <v>57</v>
      </c>
      <c r="D5317" s="5" t="s">
        <v>58</v>
      </c>
      <c r="E5317" s="5" t="s">
        <v>87</v>
      </c>
      <c r="F5317" s="9">
        <v>9</v>
      </c>
      <c r="G5317" s="9">
        <v>92</v>
      </c>
      <c r="H5317" s="5" t="s">
        <v>20</v>
      </c>
      <c r="I5317" s="5" t="s">
        <v>12770</v>
      </c>
      <c r="J5317" s="12" t="str">
        <f>HYPERLINK("https://www.boe.es/gazeta/dias/1804/01/31/pdfs/GMD-1804-9.pdf#page=4","Abrir facsímil")</f>
        <v>Abrir facsímil</v>
      </c>
      <c r="K5317" s="15" t="s">
        <v>22</v>
      </c>
    </row>
    <row r="5318" spans="1:11" ht="42" customHeight="1">
      <c r="A5318" s="4" t="s">
        <v>12768</v>
      </c>
      <c r="B5318" s="5" t="s">
        <v>12768</v>
      </c>
      <c r="C5318" s="5" t="s">
        <v>57</v>
      </c>
      <c r="D5318" s="5" t="s">
        <v>58</v>
      </c>
      <c r="E5318" s="5" t="s">
        <v>298</v>
      </c>
      <c r="F5318" s="9">
        <v>10</v>
      </c>
      <c r="G5318" s="9">
        <v>102</v>
      </c>
      <c r="H5318" s="5" t="s">
        <v>20</v>
      </c>
      <c r="I5318" s="5" t="s">
        <v>12771</v>
      </c>
      <c r="J5318" s="12" t="str">
        <f>HYPERLINK("https://www.boe.es/gazeta/dias/1804/02/03/pdfs/GMD-1804-10.pdf#page=2","Abrir facsímil")</f>
        <v>Abrir facsímil</v>
      </c>
      <c r="K5318" s="15" t="s">
        <v>22</v>
      </c>
    </row>
    <row r="5319" spans="1:11" ht="42" customHeight="1">
      <c r="A5319" s="4" t="s">
        <v>12768</v>
      </c>
      <c r="B5319" s="5" t="s">
        <v>12768</v>
      </c>
      <c r="C5319" s="5" t="s">
        <v>57</v>
      </c>
      <c r="D5319" s="5" t="s">
        <v>58</v>
      </c>
      <c r="E5319" s="5" t="s">
        <v>538</v>
      </c>
      <c r="F5319" s="9">
        <v>27</v>
      </c>
      <c r="G5319" s="9">
        <v>297</v>
      </c>
      <c r="H5319" s="5" t="s">
        <v>20</v>
      </c>
      <c r="I5319" s="5" t="s">
        <v>12772</v>
      </c>
      <c r="J5319" s="12" t="str">
        <f>HYPERLINK("https://www.boe.es/gazeta/dias/1804/04/03/pdfs/GMD-1804-27.pdf#page=3","Abrir facsímil")</f>
        <v>Abrir facsímil</v>
      </c>
      <c r="K5319" s="15" t="s">
        <v>22</v>
      </c>
    </row>
    <row r="5320" spans="1:11" ht="42" customHeight="1">
      <c r="A5320" s="4" t="s">
        <v>12768</v>
      </c>
      <c r="B5320" s="5" t="s">
        <v>12768</v>
      </c>
      <c r="C5320" s="5" t="s">
        <v>57</v>
      </c>
      <c r="D5320" s="5" t="s">
        <v>58</v>
      </c>
      <c r="E5320" s="5" t="s">
        <v>77</v>
      </c>
      <c r="F5320" s="9">
        <v>32</v>
      </c>
      <c r="G5320" s="9">
        <v>350</v>
      </c>
      <c r="H5320" s="5" t="s">
        <v>20</v>
      </c>
      <c r="I5320" s="5" t="s">
        <v>12773</v>
      </c>
      <c r="J5320" s="12" t="str">
        <f>HYPERLINK("https://www.boe.es/gazeta/dias/1804/04/20/pdfs/GMD-1804-32.pdf#page=4","Abrir facsímil")</f>
        <v>Abrir facsímil</v>
      </c>
      <c r="K5320" s="15" t="s">
        <v>22</v>
      </c>
    </row>
    <row r="5321" spans="1:11" ht="42" customHeight="1">
      <c r="A5321" s="4" t="s">
        <v>12768</v>
      </c>
      <c r="B5321" s="5" t="s">
        <v>12768</v>
      </c>
      <c r="C5321" s="5" t="s">
        <v>57</v>
      </c>
      <c r="D5321" s="5" t="s">
        <v>58</v>
      </c>
      <c r="E5321" s="5" t="s">
        <v>172</v>
      </c>
      <c r="F5321" s="9">
        <v>38</v>
      </c>
      <c r="G5321" s="9">
        <v>419</v>
      </c>
      <c r="H5321" s="5" t="s">
        <v>20</v>
      </c>
      <c r="I5321" s="5" t="s">
        <v>12774</v>
      </c>
      <c r="J5321" s="12" t="str">
        <f>HYPERLINK("https://www.boe.es/gazeta/dias/1804/05/11/pdfs/GMD-1804-38.pdf#page=5","Abrir facsímil")</f>
        <v>Abrir facsímil</v>
      </c>
      <c r="K5321" s="15" t="s">
        <v>22</v>
      </c>
    </row>
    <row r="5322" spans="1:11" ht="42" customHeight="1">
      <c r="A5322" s="4" t="s">
        <v>12768</v>
      </c>
      <c r="B5322" s="5" t="s">
        <v>12768</v>
      </c>
      <c r="C5322" s="5" t="s">
        <v>27</v>
      </c>
      <c r="D5322" s="5" t="s">
        <v>28</v>
      </c>
      <c r="E5322" s="5" t="s">
        <v>111</v>
      </c>
      <c r="F5322" s="9">
        <v>40</v>
      </c>
      <c r="G5322" s="9">
        <v>441</v>
      </c>
      <c r="H5322" s="5" t="s">
        <v>20</v>
      </c>
      <c r="I5322" s="5" t="s">
        <v>12775</v>
      </c>
      <c r="J5322" s="12" t="str">
        <f>HYPERLINK("https://www.boe.es/gazeta/dias/1804/05/18/pdfs/GMD-1804-40.pdf#page=3","Abrir facsímil")</f>
        <v>Abrir facsímil</v>
      </c>
      <c r="K5322" s="15" t="s">
        <v>22</v>
      </c>
    </row>
    <row r="5323" spans="1:11" ht="42" customHeight="1">
      <c r="A5323" s="4" t="s">
        <v>12768</v>
      </c>
      <c r="B5323" s="5" t="s">
        <v>12768</v>
      </c>
      <c r="C5323" s="5" t="s">
        <v>57</v>
      </c>
      <c r="D5323" s="5" t="s">
        <v>58</v>
      </c>
      <c r="E5323" s="5" t="s">
        <v>199</v>
      </c>
      <c r="F5323" s="9">
        <v>46</v>
      </c>
      <c r="G5323" s="9">
        <v>509</v>
      </c>
      <c r="H5323" s="5" t="s">
        <v>20</v>
      </c>
      <c r="I5323" s="5" t="s">
        <v>12776</v>
      </c>
      <c r="J5323" s="12" t="str">
        <f>HYPERLINK("https://www.boe.es/gazeta/dias/1804/06/08/pdfs/GMD-1804-46.pdf#page=7","Abrir facsímil")</f>
        <v>Abrir facsímil</v>
      </c>
      <c r="K5323" s="15" t="s">
        <v>22</v>
      </c>
    </row>
    <row r="5324" spans="1:11" ht="42" customHeight="1">
      <c r="A5324" s="4" t="s">
        <v>12768</v>
      </c>
      <c r="B5324" s="5" t="s">
        <v>12768</v>
      </c>
      <c r="C5324" s="5" t="s">
        <v>17</v>
      </c>
      <c r="D5324" s="5" t="s">
        <v>18</v>
      </c>
      <c r="E5324" s="5" t="s">
        <v>421</v>
      </c>
      <c r="F5324" s="9">
        <v>47</v>
      </c>
      <c r="G5324" s="9">
        <v>523</v>
      </c>
      <c r="H5324" s="5" t="s">
        <v>20</v>
      </c>
      <c r="I5324" s="5" t="s">
        <v>12777</v>
      </c>
      <c r="J5324" s="12" t="str">
        <f>HYPERLINK("https://www.boe.es/gazeta/dias/1804/06/12/pdfs/GMD-1804-47.pdf#page=5","Abrir facsímil")</f>
        <v>Abrir facsímil</v>
      </c>
      <c r="K5324" s="15" t="s">
        <v>22</v>
      </c>
    </row>
    <row r="5325" spans="1:11" ht="42" customHeight="1">
      <c r="A5325" s="4" t="s">
        <v>12768</v>
      </c>
      <c r="B5325" s="5" t="s">
        <v>12768</v>
      </c>
      <c r="C5325" s="5" t="s">
        <v>17</v>
      </c>
      <c r="D5325" s="5" t="s">
        <v>18</v>
      </c>
      <c r="E5325" s="5" t="s">
        <v>421</v>
      </c>
      <c r="F5325" s="9">
        <v>47</v>
      </c>
      <c r="G5325" s="9">
        <v>524</v>
      </c>
      <c r="H5325" s="5" t="s">
        <v>20</v>
      </c>
      <c r="I5325" s="5" t="s">
        <v>12778</v>
      </c>
      <c r="J5325" s="12" t="str">
        <f>HYPERLINK("https://www.boe.es/gazeta/dias/1804/06/12/pdfs/GMD-1804-47.pdf#page=6","Abrir facsímil")</f>
        <v>Abrir facsímil</v>
      </c>
      <c r="K5325" s="15" t="s">
        <v>22</v>
      </c>
    </row>
    <row r="5326" spans="1:11" ht="42" customHeight="1">
      <c r="A5326" s="4" t="s">
        <v>12768</v>
      </c>
      <c r="B5326" s="5" t="s">
        <v>12768</v>
      </c>
      <c r="C5326" s="5" t="s">
        <v>57</v>
      </c>
      <c r="D5326" s="5" t="s">
        <v>58</v>
      </c>
      <c r="E5326" s="5" t="s">
        <v>54</v>
      </c>
      <c r="F5326" s="9">
        <v>63</v>
      </c>
      <c r="G5326" s="9">
        <v>695</v>
      </c>
      <c r="H5326" s="5" t="s">
        <v>20</v>
      </c>
      <c r="I5326" s="5" t="s">
        <v>12779</v>
      </c>
      <c r="J5326" s="12" t="str">
        <f>HYPERLINK("https://www.boe.es/gazeta/dias/1804/08/07/pdfs/GMD-1804-63.pdf#page=5","Abrir facsímil")</f>
        <v>Abrir facsímil</v>
      </c>
      <c r="K5326" s="15" t="s">
        <v>22</v>
      </c>
    </row>
    <row r="5327" spans="1:11" ht="42" customHeight="1">
      <c r="A5327" s="4" t="s">
        <v>12780</v>
      </c>
      <c r="B5327" s="5" t="s">
        <v>12780</v>
      </c>
      <c r="C5327" s="5" t="s">
        <v>57</v>
      </c>
      <c r="D5327" s="5" t="s">
        <v>58</v>
      </c>
      <c r="E5327" s="5" t="s">
        <v>91</v>
      </c>
      <c r="F5327" s="9">
        <v>72</v>
      </c>
      <c r="G5327" s="9">
        <v>799</v>
      </c>
      <c r="H5327" s="5" t="s">
        <v>20</v>
      </c>
      <c r="I5327" s="5" t="s">
        <v>12781</v>
      </c>
      <c r="J5327" s="12" t="str">
        <f>HYPERLINK("https://www.boe.es/gazeta/dias/1804/09/07/pdfs/GMD-1804-72.pdf#page=1","Abrir facsímil")</f>
        <v>Abrir facsímil</v>
      </c>
      <c r="K5327" s="15" t="s">
        <v>22</v>
      </c>
    </row>
    <row r="5328" spans="1:11" ht="42" customHeight="1">
      <c r="A5328" s="4" t="s">
        <v>12782</v>
      </c>
      <c r="B5328" s="5" t="s">
        <v>12783</v>
      </c>
      <c r="C5328" s="5" t="s">
        <v>27</v>
      </c>
      <c r="D5328" s="5" t="s">
        <v>28</v>
      </c>
      <c r="E5328" s="5" t="s">
        <v>526</v>
      </c>
      <c r="F5328" s="9">
        <v>95</v>
      </c>
      <c r="G5328" s="9">
        <v>1056</v>
      </c>
      <c r="H5328" s="5" t="s">
        <v>20</v>
      </c>
      <c r="I5328" s="5" t="s">
        <v>12784</v>
      </c>
      <c r="J5328" s="12" t="str">
        <f>HYPERLINK("https://www.boe.es/gazeta/dias/1804/11/27/pdfs/GMD-1804-95.pdf#page=8","Abrir facsímil")</f>
        <v>Abrir facsímil</v>
      </c>
      <c r="K5328" s="15" t="s">
        <v>22</v>
      </c>
    </row>
    <row r="5329" spans="1:11" ht="42" customHeight="1">
      <c r="A5329" s="4" t="s">
        <v>12785</v>
      </c>
      <c r="B5329" s="5" t="s">
        <v>12786</v>
      </c>
      <c r="C5329" s="5" t="s">
        <v>27</v>
      </c>
      <c r="D5329" s="5" t="s">
        <v>28</v>
      </c>
      <c r="E5329" s="5" t="s">
        <v>354</v>
      </c>
      <c r="F5329" s="9">
        <v>1</v>
      </c>
      <c r="G5329" s="9">
        <v>10</v>
      </c>
      <c r="H5329" s="5" t="s">
        <v>20</v>
      </c>
      <c r="I5329" s="5" t="s">
        <v>12787</v>
      </c>
      <c r="J5329" s="12" t="str">
        <f>HYPERLINK("https://www.boe.es/gazeta/dias/1804/01/03/pdfs/GMD-1804-1.pdf#page=10","Abrir facsímil")</f>
        <v>Abrir facsímil</v>
      </c>
      <c r="K5329" s="15" t="s">
        <v>22</v>
      </c>
    </row>
    <row r="5330" spans="1:11" ht="42" customHeight="1">
      <c r="A5330" s="4" t="s">
        <v>12788</v>
      </c>
      <c r="B5330" s="5" t="s">
        <v>12788</v>
      </c>
      <c r="C5330" s="5" t="s">
        <v>57</v>
      </c>
      <c r="D5330" s="5" t="s">
        <v>58</v>
      </c>
      <c r="E5330" s="5" t="s">
        <v>699</v>
      </c>
      <c r="F5330" s="9">
        <v>2</v>
      </c>
      <c r="G5330" s="9">
        <v>16</v>
      </c>
      <c r="H5330" s="5" t="s">
        <v>20</v>
      </c>
      <c r="I5330" s="5" t="s">
        <v>12789</v>
      </c>
      <c r="J5330" s="12" t="str">
        <f>HYPERLINK("https://www.boe.es/gazeta/dias/1804/01/06/pdfs/GMD-1804-2.pdf#page=4","Abrir facsímil")</f>
        <v>Abrir facsímil</v>
      </c>
      <c r="K5330" s="15" t="s">
        <v>22</v>
      </c>
    </row>
    <row r="5331" spans="1:11" ht="42" customHeight="1">
      <c r="A5331" s="4" t="s">
        <v>12788</v>
      </c>
      <c r="B5331" s="5" t="s">
        <v>12788</v>
      </c>
      <c r="C5331" s="5" t="s">
        <v>27</v>
      </c>
      <c r="D5331" s="5" t="s">
        <v>28</v>
      </c>
      <c r="E5331" s="5" t="s">
        <v>29</v>
      </c>
      <c r="F5331" s="9">
        <v>88</v>
      </c>
      <c r="G5331" s="9">
        <v>975</v>
      </c>
      <c r="H5331" s="5" t="s">
        <v>20</v>
      </c>
      <c r="I5331" s="5" t="s">
        <v>12790</v>
      </c>
      <c r="J5331" s="12" t="str">
        <f>HYPERLINK("https://www.boe.es/gazeta/dias/1804/11/02/pdfs/GMD-1804-88.pdf#page=7","Abrir facsímil")</f>
        <v>Abrir facsímil</v>
      </c>
      <c r="K5331" s="15" t="s">
        <v>22</v>
      </c>
    </row>
    <row r="5332" spans="1:11" ht="42" customHeight="1">
      <c r="A5332" s="4" t="s">
        <v>12791</v>
      </c>
      <c r="B5332" s="5" t="s">
        <v>12792</v>
      </c>
      <c r="C5332" s="5" t="s">
        <v>27</v>
      </c>
      <c r="D5332" s="5" t="s">
        <v>28</v>
      </c>
      <c r="E5332" s="5" t="s">
        <v>490</v>
      </c>
      <c r="F5332" s="9">
        <v>100</v>
      </c>
      <c r="G5332" s="9">
        <v>1118</v>
      </c>
      <c r="H5332" s="5" t="s">
        <v>20</v>
      </c>
      <c r="I5332" s="5" t="s">
        <v>12793</v>
      </c>
      <c r="J5332" s="12" t="str">
        <f>HYPERLINK("https://www.boe.es/gazeta/dias/1804/12/14/pdfs/GMD-1804-100.pdf#page=10","Abrir facsímil")</f>
        <v>Abrir facsímil</v>
      </c>
      <c r="K5332" s="15" t="s">
        <v>22</v>
      </c>
    </row>
    <row r="5333" spans="1:11" ht="42" customHeight="1">
      <c r="A5333" s="4" t="s">
        <v>12794</v>
      </c>
      <c r="B5333" s="5" t="s">
        <v>12794</v>
      </c>
      <c r="C5333" s="5" t="s">
        <v>27</v>
      </c>
      <c r="D5333" s="5" t="s">
        <v>28</v>
      </c>
      <c r="E5333" s="5" t="s">
        <v>216</v>
      </c>
      <c r="F5333" s="9">
        <v>67</v>
      </c>
      <c r="G5333" s="9">
        <v>748</v>
      </c>
      <c r="H5333" s="5" t="s">
        <v>20</v>
      </c>
      <c r="I5333" s="5" t="s">
        <v>12795</v>
      </c>
      <c r="J5333" s="12" t="str">
        <f>HYPERLINK("https://www.boe.es/gazeta/dias/1804/08/21/pdfs/GMD-1804-67.pdf#page=6","Abrir facsímil")</f>
        <v>Abrir facsímil</v>
      </c>
      <c r="K5333" s="15" t="s">
        <v>22</v>
      </c>
    </row>
    <row r="5334" spans="1:11" ht="42" customHeight="1">
      <c r="A5334" s="4" t="s">
        <v>12796</v>
      </c>
      <c r="B5334" s="5" t="s">
        <v>12797</v>
      </c>
      <c r="C5334" s="5" t="s">
        <v>27</v>
      </c>
      <c r="D5334" s="5" t="s">
        <v>28</v>
      </c>
      <c r="E5334" s="5" t="s">
        <v>33</v>
      </c>
      <c r="F5334" s="9">
        <v>48</v>
      </c>
      <c r="G5334" s="9">
        <v>537</v>
      </c>
      <c r="H5334" s="5" t="s">
        <v>20</v>
      </c>
      <c r="I5334" s="5" t="s">
        <v>12798</v>
      </c>
      <c r="J5334" s="12" t="str">
        <f>HYPERLINK("https://www.boe.es/gazeta/dias/1804/06/15/pdfs/GMD-1804-48.pdf#page=7","Abrir facsímil")</f>
        <v>Abrir facsímil</v>
      </c>
      <c r="K5334" s="15" t="s">
        <v>22</v>
      </c>
    </row>
    <row r="5335" spans="1:11" ht="42" customHeight="1">
      <c r="A5335" s="4" t="s">
        <v>12799</v>
      </c>
      <c r="B5335" s="5" t="s">
        <v>12800</v>
      </c>
      <c r="C5335" s="5" t="s">
        <v>120</v>
      </c>
      <c r="D5335" s="5" t="s">
        <v>121</v>
      </c>
      <c r="E5335" s="5" t="s">
        <v>33</v>
      </c>
      <c r="F5335" s="9">
        <v>48</v>
      </c>
      <c r="G5335" s="9" t="s">
        <v>819</v>
      </c>
      <c r="H5335" s="5" t="s">
        <v>20</v>
      </c>
      <c r="I5335" s="5" t="s">
        <v>12801</v>
      </c>
      <c r="J5335" s="12" t="str">
        <f>HYPERLINK("https://www.boe.es/gazeta/dias/1804/06/15/pdfs/GMD-C-1804-48.pdf#page=4","Abrir facsímil")</f>
        <v>Abrir facsímil</v>
      </c>
      <c r="K5335" s="15" t="s">
        <v>22</v>
      </c>
    </row>
    <row r="5336" spans="1:11" ht="42" customHeight="1">
      <c r="A5336" s="4" t="s">
        <v>12802</v>
      </c>
      <c r="B5336" s="5" t="s">
        <v>12803</v>
      </c>
      <c r="C5336" s="5" t="s">
        <v>27</v>
      </c>
      <c r="D5336" s="5" t="s">
        <v>28</v>
      </c>
      <c r="E5336" s="5" t="s">
        <v>497</v>
      </c>
      <c r="F5336" s="9">
        <v>25</v>
      </c>
      <c r="G5336" s="9">
        <v>285</v>
      </c>
      <c r="H5336" s="5" t="s">
        <v>20</v>
      </c>
      <c r="I5336" s="5" t="s">
        <v>12804</v>
      </c>
      <c r="J5336" s="12" t="str">
        <f>HYPERLINK("https://www.boe.es/gazeta/dias/1804/03/27/pdfs/GMD-1804-25.pdf#page=7","Abrir facsímil")</f>
        <v>Abrir facsímil</v>
      </c>
      <c r="K5336" s="15" t="s">
        <v>22</v>
      </c>
    </row>
    <row r="5337" spans="1:11" ht="42" customHeight="1">
      <c r="A5337" s="4" t="s">
        <v>12805</v>
      </c>
      <c r="B5337" s="5" t="s">
        <v>12806</v>
      </c>
      <c r="C5337" s="5" t="s">
        <v>85</v>
      </c>
      <c r="D5337" s="5" t="s">
        <v>86</v>
      </c>
      <c r="E5337" s="5" t="s">
        <v>191</v>
      </c>
      <c r="F5337" s="9">
        <v>101</v>
      </c>
      <c r="G5337" s="9">
        <v>1132</v>
      </c>
      <c r="H5337" s="5" t="s">
        <v>20</v>
      </c>
      <c r="I5337" s="5" t="s">
        <v>12807</v>
      </c>
      <c r="J5337" s="12" t="str">
        <f>HYPERLINK("https://www.boe.es/gazeta/dias/1804/12/18/pdfs/GMD-1804-101.pdf#page=12","Abrir facsímil")</f>
        <v>Abrir facsímil</v>
      </c>
      <c r="K5337" s="15" t="s">
        <v>22</v>
      </c>
    </row>
    <row r="5338" spans="1:11" ht="42" customHeight="1">
      <c r="A5338" s="4" t="s">
        <v>12808</v>
      </c>
      <c r="B5338" s="5" t="s">
        <v>12809</v>
      </c>
      <c r="C5338" s="5" t="s">
        <v>17</v>
      </c>
      <c r="D5338" s="5" t="s">
        <v>18</v>
      </c>
      <c r="E5338" s="5" t="s">
        <v>1095</v>
      </c>
      <c r="F5338" s="9">
        <v>73</v>
      </c>
      <c r="G5338" s="9">
        <v>820</v>
      </c>
      <c r="H5338" s="5" t="s">
        <v>20</v>
      </c>
      <c r="I5338" s="5" t="s">
        <v>12810</v>
      </c>
      <c r="J5338" s="12" t="str">
        <f>HYPERLINK("https://www.boe.es/gazeta/dias/1804/09/11/pdfs/GMD-1804-73.pdf#page=10","Abrir facsímil")</f>
        <v>Abrir facsímil</v>
      </c>
      <c r="K5338" s="15" t="s">
        <v>22</v>
      </c>
    </row>
    <row r="5339" spans="1:11" ht="42" customHeight="1">
      <c r="A5339" s="4" t="s">
        <v>12811</v>
      </c>
      <c r="B5339" s="5" t="s">
        <v>12812</v>
      </c>
      <c r="C5339" s="5" t="s">
        <v>198</v>
      </c>
      <c r="D5339" s="5" t="s">
        <v>66</v>
      </c>
      <c r="E5339" s="5" t="s">
        <v>140</v>
      </c>
      <c r="F5339" s="9">
        <v>39</v>
      </c>
      <c r="G5339" s="9">
        <v>432</v>
      </c>
      <c r="H5339" s="5" t="s">
        <v>20</v>
      </c>
      <c r="I5339" s="5" t="s">
        <v>12813</v>
      </c>
      <c r="J5339" s="12" t="str">
        <f>HYPERLINK("https://www.boe.es/gazeta/dias/1804/05/15/pdfs/GMD-1804-39.pdf#page=6","Abrir facsímil")</f>
        <v>Abrir facsímil</v>
      </c>
      <c r="K5339" s="15" t="s">
        <v>22</v>
      </c>
    </row>
    <row r="5340" spans="1:11" ht="42" customHeight="1">
      <c r="A5340" s="4" t="s">
        <v>12814</v>
      </c>
      <c r="B5340" s="5" t="s">
        <v>12814</v>
      </c>
      <c r="C5340" s="5" t="s">
        <v>27</v>
      </c>
      <c r="D5340" s="5" t="s">
        <v>28</v>
      </c>
      <c r="E5340" s="5" t="s">
        <v>172</v>
      </c>
      <c r="F5340" s="9">
        <v>38</v>
      </c>
      <c r="G5340" s="9">
        <v>420</v>
      </c>
      <c r="H5340" s="5" t="s">
        <v>20</v>
      </c>
      <c r="I5340" s="5" t="s">
        <v>12815</v>
      </c>
      <c r="J5340" s="12" t="str">
        <f>HYPERLINK("https://www.boe.es/gazeta/dias/1804/05/11/pdfs/GMD-1804-38.pdf#page=6","Abrir facsímil")</f>
        <v>Abrir facsímil</v>
      </c>
      <c r="K5340" s="15" t="s">
        <v>22</v>
      </c>
    </row>
    <row r="5341" spans="1:11" ht="42" customHeight="1">
      <c r="A5341" s="4" t="s">
        <v>12816</v>
      </c>
      <c r="B5341" s="5" t="s">
        <v>12817</v>
      </c>
      <c r="C5341" s="5" t="s">
        <v>57</v>
      </c>
      <c r="D5341" s="5" t="s">
        <v>58</v>
      </c>
      <c r="E5341" s="5" t="s">
        <v>453</v>
      </c>
      <c r="F5341" s="9">
        <v>33</v>
      </c>
      <c r="G5341" s="9">
        <v>360</v>
      </c>
      <c r="H5341" s="5" t="s">
        <v>20</v>
      </c>
      <c r="I5341" s="5" t="s">
        <v>12818</v>
      </c>
      <c r="J5341" s="12" t="str">
        <f>HYPERLINK("https://www.boe.es/gazeta/dias/1804/04/24/pdfs/GMD-1804-33.pdf#page=2","Abrir facsímil")</f>
        <v>Abrir facsímil</v>
      </c>
      <c r="K5341" s="15" t="s">
        <v>22</v>
      </c>
    </row>
    <row r="5342" spans="1:11" ht="42" customHeight="1">
      <c r="A5342" s="4" t="s">
        <v>12816</v>
      </c>
      <c r="B5342" s="5" t="s">
        <v>12817</v>
      </c>
      <c r="C5342" s="5" t="s">
        <v>57</v>
      </c>
      <c r="D5342" s="5" t="s">
        <v>58</v>
      </c>
      <c r="E5342" s="5" t="s">
        <v>212</v>
      </c>
      <c r="F5342" s="9">
        <v>89</v>
      </c>
      <c r="G5342" s="9">
        <v>982</v>
      </c>
      <c r="H5342" s="5" t="s">
        <v>20</v>
      </c>
      <c r="I5342" s="5" t="s">
        <v>12819</v>
      </c>
      <c r="J5342" s="12" t="str">
        <f>HYPERLINK("https://www.boe.es/gazeta/dias/1804/11/06/pdfs/GMD-1804-89.pdf#page=2","Abrir facsímil")</f>
        <v>Abrir facsímil</v>
      </c>
      <c r="K5342" s="15" t="s">
        <v>22</v>
      </c>
    </row>
    <row r="5343" spans="1:11" ht="42" customHeight="1">
      <c r="A5343" s="4" t="s">
        <v>12820</v>
      </c>
      <c r="B5343" s="5" t="s">
        <v>12821</v>
      </c>
      <c r="C5343" s="5" t="s">
        <v>17</v>
      </c>
      <c r="D5343" s="5" t="s">
        <v>18</v>
      </c>
      <c r="E5343" s="5" t="s">
        <v>71</v>
      </c>
      <c r="F5343" s="9">
        <v>99</v>
      </c>
      <c r="G5343" s="9">
        <v>1106</v>
      </c>
      <c r="H5343" s="5" t="s">
        <v>20</v>
      </c>
      <c r="I5343" s="5" t="s">
        <v>12822</v>
      </c>
      <c r="J5343" s="12" t="str">
        <f>HYPERLINK("https://www.boe.es/gazeta/dias/1804/12/11/pdfs/GMD-1804-99.pdf#page=6","Abrir facsímil")</f>
        <v>Abrir facsímil</v>
      </c>
      <c r="K5343" s="15" t="s">
        <v>22</v>
      </c>
    </row>
    <row r="5344" spans="1:11" ht="42" customHeight="1">
      <c r="A5344" s="4" t="s">
        <v>12823</v>
      </c>
      <c r="B5344" s="5" t="s">
        <v>12824</v>
      </c>
      <c r="C5344" s="5" t="s">
        <v>65</v>
      </c>
      <c r="D5344" s="5" t="s">
        <v>66</v>
      </c>
      <c r="E5344" s="5" t="s">
        <v>576</v>
      </c>
      <c r="F5344" s="9">
        <v>85</v>
      </c>
      <c r="G5344" s="9">
        <v>934</v>
      </c>
      <c r="H5344" s="5" t="s">
        <v>20</v>
      </c>
      <c r="I5344" s="5" t="s">
        <v>12825</v>
      </c>
      <c r="J5344" s="12" t="str">
        <f>HYPERLINK("https://www.boe.es/gazeta/dias/1804/10/23/pdfs/GMD-1804-85.pdf#page=4","Abrir facsímil")</f>
        <v>Abrir facsímil</v>
      </c>
      <c r="K5344" s="15" t="s">
        <v>22</v>
      </c>
    </row>
    <row r="5345" spans="1:11" ht="42" customHeight="1">
      <c r="A5345" s="4" t="s">
        <v>12826</v>
      </c>
      <c r="B5345" s="5" t="s">
        <v>12827</v>
      </c>
      <c r="C5345" s="5" t="s">
        <v>27</v>
      </c>
      <c r="D5345" s="5" t="s">
        <v>28</v>
      </c>
      <c r="E5345" s="5" t="s">
        <v>50</v>
      </c>
      <c r="F5345" s="9">
        <v>93</v>
      </c>
      <c r="G5345" s="9">
        <v>1031</v>
      </c>
      <c r="H5345" s="5" t="s">
        <v>20</v>
      </c>
      <c r="I5345" s="5" t="s">
        <v>12828</v>
      </c>
      <c r="J5345" s="12" t="str">
        <f>HYPERLINK("https://www.boe.es/gazeta/dias/1804/11/20/pdfs/GMD-1804-93.pdf#page=7","Abrir facsímil")</f>
        <v>Abrir facsímil</v>
      </c>
      <c r="K5345" s="15" t="s">
        <v>22</v>
      </c>
    </row>
    <row r="5346" spans="1:11" ht="42" customHeight="1">
      <c r="A5346" s="6" t="s">
        <v>12829</v>
      </c>
      <c r="B5346" s="7" t="s">
        <v>12830</v>
      </c>
      <c r="C5346" s="7" t="s">
        <v>27</v>
      </c>
      <c r="D5346" s="7" t="s">
        <v>28</v>
      </c>
      <c r="E5346" s="7" t="s">
        <v>178</v>
      </c>
      <c r="F5346" s="10">
        <v>20</v>
      </c>
      <c r="G5346" s="10">
        <v>219</v>
      </c>
      <c r="H5346" s="7" t="s">
        <v>20</v>
      </c>
      <c r="I5346" s="7" t="s">
        <v>12831</v>
      </c>
      <c r="J5346" s="13" t="str">
        <f>HYPERLINK("https://www.boe.es/gazeta/dias/1804/03/09/pdfs/GMD-1804-20.pdf#page=7","Abrir facsímil")</f>
        <v>Abrir facsímil</v>
      </c>
      <c r="K5346" s="16" t="s">
        <v>22</v>
      </c>
    </row>
  </sheetData>
  <mergeCells count="5">
    <mergeCell ref="A1:K1"/>
    <mergeCell ref="A2:K2"/>
    <mergeCell ref="A3:C3"/>
    <mergeCell ref="D3:K3"/>
    <mergeCell ref="A4:K4"/>
  </mergeCells>
  <conditionalFormatting sqref="K7:K5346">
    <cfRule type="containsText" dxfId="1" priority="1" operator="containsText" text="Cotejar OCR"/>
    <cfRule type="containsText" dxfId="0" priority="2" operator="containsText" text="Revisado"/>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9EAF7"/>
  </sheetPr>
  <dimension ref="A1:E140"/>
  <sheetViews>
    <sheetView showGridLines="0" workbookViewId="0">
      <pane ySplit="3" topLeftCell="A4" activePane="bottomLeft" state="frozen"/>
      <selection pane="bottomLeft"/>
    </sheetView>
  </sheetViews>
  <sheetFormatPr baseColWidth="10" defaultColWidth="9" defaultRowHeight="14.25"/>
  <cols>
    <col min="1" max="1" width="18" customWidth="1"/>
    <col min="2" max="2" width="28" customWidth="1"/>
    <col min="3" max="3" width="26" customWidth="1"/>
    <col min="4" max="4" width="13" customWidth="1"/>
    <col min="5" max="5" width="22" customWidth="1"/>
  </cols>
  <sheetData>
    <row r="1" spans="1:5" ht="32.1" customHeight="1">
      <c r="A1" s="30" t="s">
        <v>12832</v>
      </c>
      <c r="B1" s="30"/>
      <c r="C1" s="30"/>
      <c r="D1" s="30"/>
      <c r="E1" s="30"/>
    </row>
    <row r="3" spans="1:5">
      <c r="A3" s="1" t="s">
        <v>10</v>
      </c>
      <c r="B3" s="1" t="s">
        <v>9</v>
      </c>
      <c r="C3" s="1" t="s">
        <v>12833</v>
      </c>
      <c r="D3" s="1" t="s">
        <v>12834</v>
      </c>
      <c r="E3" s="1" t="s">
        <v>12835</v>
      </c>
    </row>
    <row r="4" spans="1:5">
      <c r="A4" s="20">
        <v>1</v>
      </c>
      <c r="B4" s="17" t="s">
        <v>354</v>
      </c>
      <c r="C4" s="23" t="s">
        <v>12836</v>
      </c>
      <c r="D4" s="23">
        <v>26</v>
      </c>
      <c r="E4" s="26" t="str">
        <f>HYPERLINK("https://www.boe.es/gazeta/dias/1804/01/03/pdfs/GMD-1804-1.pdf","Abrir fascículo")</f>
        <v>Abrir fascículo</v>
      </c>
    </row>
    <row r="5" spans="1:5">
      <c r="A5" s="21">
        <v>2</v>
      </c>
      <c r="B5" s="18" t="s">
        <v>699</v>
      </c>
      <c r="C5" s="24" t="s">
        <v>12837</v>
      </c>
      <c r="D5" s="24">
        <v>31</v>
      </c>
      <c r="E5" s="27" t="str">
        <f>HYPERLINK("https://www.boe.es/gazeta/dias/1804/01/06/pdfs/GMD-1804-2.pdf","Abrir fascículo")</f>
        <v>Abrir fascículo</v>
      </c>
    </row>
    <row r="6" spans="1:5">
      <c r="A6" s="21">
        <v>3</v>
      </c>
      <c r="B6" s="18" t="s">
        <v>302</v>
      </c>
      <c r="C6" s="24" t="s">
        <v>12838</v>
      </c>
      <c r="D6" s="24">
        <v>30</v>
      </c>
      <c r="E6" s="27" t="str">
        <f>HYPERLINK("https://www.boe.es/gazeta/dias/1804/01/10/pdfs/GMD-1804-3.pdf","Abrir fascículo")</f>
        <v>Abrir fascículo</v>
      </c>
    </row>
    <row r="7" spans="1:5">
      <c r="A7" s="21">
        <v>4</v>
      </c>
      <c r="B7" s="18" t="s">
        <v>222</v>
      </c>
      <c r="C7" s="24" t="s">
        <v>12839</v>
      </c>
      <c r="D7" s="24">
        <v>29</v>
      </c>
      <c r="E7" s="27" t="str">
        <f>HYPERLINK("https://www.boe.es/gazeta/dias/1804/01/13/pdfs/GMD-1804-4.pdf","Abrir fascículo")</f>
        <v>Abrir fascículo</v>
      </c>
    </row>
    <row r="8" spans="1:5">
      <c r="A8" s="21">
        <v>5</v>
      </c>
      <c r="B8" s="18" t="s">
        <v>479</v>
      </c>
      <c r="C8" s="24" t="s">
        <v>12840</v>
      </c>
      <c r="D8" s="24">
        <v>31</v>
      </c>
      <c r="E8" s="27" t="str">
        <f>HYPERLINK("https://www.boe.es/gazeta/dias/1804/01/17/pdfs/GMD-1804-5.pdf","Abrir fascículo")</f>
        <v>Abrir fascículo</v>
      </c>
    </row>
    <row r="9" spans="1:5">
      <c r="A9" s="21">
        <v>6</v>
      </c>
      <c r="B9" s="18" t="s">
        <v>245</v>
      </c>
      <c r="C9" s="24" t="s">
        <v>12841</v>
      </c>
      <c r="D9" s="24">
        <v>45</v>
      </c>
      <c r="E9" s="27" t="str">
        <f>HYPERLINK("https://www.boe.es/gazeta/dias/1804/01/20/pdfs/GMD-1804-6.pdf","Abrir fascículo")</f>
        <v>Abrir fascículo</v>
      </c>
    </row>
    <row r="10" spans="1:5">
      <c r="A10" s="21">
        <v>7</v>
      </c>
      <c r="B10" s="18" t="s">
        <v>1337</v>
      </c>
      <c r="C10" s="24" t="s">
        <v>12842</v>
      </c>
      <c r="D10" s="24">
        <v>26</v>
      </c>
      <c r="E10" s="27" t="str">
        <f>HYPERLINK("https://www.boe.es/gazeta/dias/1804/01/24/pdfs/GMD-1804-7.pdf","Abrir fascículo")</f>
        <v>Abrir fascículo</v>
      </c>
    </row>
    <row r="11" spans="1:5">
      <c r="A11" s="21" t="s">
        <v>12843</v>
      </c>
      <c r="B11" s="18" t="s">
        <v>1337</v>
      </c>
      <c r="C11" s="24" t="s">
        <v>12844</v>
      </c>
      <c r="D11" s="24">
        <v>0</v>
      </c>
      <c r="E11" s="27" t="str">
        <f>HYPERLINK("https://www.boe.es/gazeta/dias/1804/01/24/pdfs/GMD-C-1804-7.pdf","Abrir suplemento")</f>
        <v>Abrir suplemento</v>
      </c>
    </row>
    <row r="12" spans="1:5">
      <c r="A12" s="21">
        <v>8</v>
      </c>
      <c r="B12" s="18" t="s">
        <v>1449</v>
      </c>
      <c r="C12" s="24" t="s">
        <v>12845</v>
      </c>
      <c r="D12" s="24">
        <v>29</v>
      </c>
      <c r="E12" s="27" t="str">
        <f>HYPERLINK("https://www.boe.es/gazeta/dias/1804/01/27/pdfs/GMD-1804-8.pdf","Abrir fascículo")</f>
        <v>Abrir fascículo</v>
      </c>
    </row>
    <row r="13" spans="1:5">
      <c r="A13" s="21">
        <v>9</v>
      </c>
      <c r="B13" s="18" t="s">
        <v>87</v>
      </c>
      <c r="C13" s="24" t="s">
        <v>12846</v>
      </c>
      <c r="D13" s="24">
        <v>35</v>
      </c>
      <c r="E13" s="27" t="str">
        <f>HYPERLINK("https://www.boe.es/gazeta/dias/1804/01/31/pdfs/GMD-1804-9.pdf","Abrir fascículo")</f>
        <v>Abrir fascículo</v>
      </c>
    </row>
    <row r="14" spans="1:5">
      <c r="A14" s="21">
        <v>10</v>
      </c>
      <c r="B14" s="18" t="s">
        <v>298</v>
      </c>
      <c r="C14" s="24" t="s">
        <v>12847</v>
      </c>
      <c r="D14" s="24">
        <v>53</v>
      </c>
      <c r="E14" s="27" t="str">
        <f>HYPERLINK("https://www.boe.es/gazeta/dias/1804/02/03/pdfs/GMD-1804-10.pdf","Abrir fascículo")</f>
        <v>Abrir fascículo</v>
      </c>
    </row>
    <row r="15" spans="1:5">
      <c r="A15" s="21">
        <v>11</v>
      </c>
      <c r="B15" s="18" t="s">
        <v>103</v>
      </c>
      <c r="C15" s="24" t="s">
        <v>12848</v>
      </c>
      <c r="D15" s="24">
        <v>34</v>
      </c>
      <c r="E15" s="27" t="str">
        <f>HYPERLINK("https://www.boe.es/gazeta/dias/1804/02/07/pdfs/GMD-1804-11.pdf","Abrir fascículo")</f>
        <v>Abrir fascículo</v>
      </c>
    </row>
    <row r="16" spans="1:5">
      <c r="A16" s="21">
        <v>12</v>
      </c>
      <c r="B16" s="18" t="s">
        <v>511</v>
      </c>
      <c r="C16" s="24" t="s">
        <v>12849</v>
      </c>
      <c r="D16" s="24">
        <v>24</v>
      </c>
      <c r="E16" s="27" t="str">
        <f>HYPERLINK("https://www.boe.es/gazeta/dias/1804/02/10/pdfs/GMD-1804-12.pdf","Abrir fascículo")</f>
        <v>Abrir fascículo</v>
      </c>
    </row>
    <row r="17" spans="1:5">
      <c r="A17" s="21">
        <v>13</v>
      </c>
      <c r="B17" s="18" t="s">
        <v>151</v>
      </c>
      <c r="C17" s="24" t="s">
        <v>12850</v>
      </c>
      <c r="D17" s="24">
        <v>34</v>
      </c>
      <c r="E17" s="27" t="str">
        <f>HYPERLINK("https://www.boe.es/gazeta/dias/1804/02/14/pdfs/GMD-1804-13.pdf","Abrir fascículo")</f>
        <v>Abrir fascículo</v>
      </c>
    </row>
    <row r="18" spans="1:5">
      <c r="A18" s="21">
        <v>14</v>
      </c>
      <c r="B18" s="18" t="s">
        <v>258</v>
      </c>
      <c r="C18" s="24" t="s">
        <v>12851</v>
      </c>
      <c r="D18" s="24">
        <v>49</v>
      </c>
      <c r="E18" s="27" t="str">
        <f>HYPERLINK("https://www.boe.es/gazeta/dias/1804/02/17/pdfs/GMD-1804-14.pdf","Abrir fascículo")</f>
        <v>Abrir fascículo</v>
      </c>
    </row>
    <row r="19" spans="1:5">
      <c r="A19" s="21">
        <v>15</v>
      </c>
      <c r="B19" s="18" t="s">
        <v>159</v>
      </c>
      <c r="C19" s="24" t="s">
        <v>12852</v>
      </c>
      <c r="D19" s="24">
        <v>31</v>
      </c>
      <c r="E19" s="27" t="str">
        <f>HYPERLINK("https://www.boe.es/gazeta/dias/1804/02/21/pdfs/GMD-1804-15.pdf","Abrir fascículo")</f>
        <v>Abrir fascículo</v>
      </c>
    </row>
    <row r="20" spans="1:5">
      <c r="A20" s="21">
        <v>16</v>
      </c>
      <c r="B20" s="18" t="s">
        <v>75</v>
      </c>
      <c r="C20" s="24" t="s">
        <v>12853</v>
      </c>
      <c r="D20" s="24">
        <v>34</v>
      </c>
      <c r="E20" s="27" t="str">
        <f>HYPERLINK("https://www.boe.es/gazeta/dias/1804/02/24/pdfs/GMD-1804-16.pdf","Abrir fascículo")</f>
        <v>Abrir fascículo</v>
      </c>
    </row>
    <row r="21" spans="1:5">
      <c r="A21" s="21" t="s">
        <v>12854</v>
      </c>
      <c r="B21" s="18" t="s">
        <v>75</v>
      </c>
      <c r="C21" s="24" t="s">
        <v>12855</v>
      </c>
      <c r="D21" s="24">
        <v>0</v>
      </c>
      <c r="E21" s="27" t="str">
        <f>HYPERLINK("https://www.boe.es/gazeta/dias/1804/02/24/pdfs/GMD-C-1804-16.pdf","Abrir suplemento")</f>
        <v>Abrir suplemento</v>
      </c>
    </row>
    <row r="22" spans="1:5">
      <c r="A22" s="21">
        <v>17</v>
      </c>
      <c r="B22" s="18" t="s">
        <v>226</v>
      </c>
      <c r="C22" s="24" t="s">
        <v>12856</v>
      </c>
      <c r="D22" s="24">
        <v>29</v>
      </c>
      <c r="E22" s="27" t="str">
        <f>HYPERLINK("https://www.boe.es/gazeta/dias/1804/02/28/pdfs/GMD-1804-17.pdf","Abrir fascículo")</f>
        <v>Abrir fascículo</v>
      </c>
    </row>
    <row r="23" spans="1:5">
      <c r="A23" s="21" t="s">
        <v>12857</v>
      </c>
      <c r="B23" s="18" t="s">
        <v>226</v>
      </c>
      <c r="C23" s="24" t="s">
        <v>12858</v>
      </c>
      <c r="D23" s="24">
        <v>6</v>
      </c>
      <c r="E23" s="27" t="str">
        <f>HYPERLINK("https://www.boe.es/gazeta/dias/1804/02/28/pdfs/GMD-C-1804-17.pdf","Abrir suplemento")</f>
        <v>Abrir suplemento</v>
      </c>
    </row>
    <row r="24" spans="1:5">
      <c r="A24" s="21">
        <v>18</v>
      </c>
      <c r="B24" s="18" t="s">
        <v>388</v>
      </c>
      <c r="C24" s="24" t="s">
        <v>12859</v>
      </c>
      <c r="D24" s="24">
        <v>44</v>
      </c>
      <c r="E24" s="27" t="str">
        <f>HYPERLINK("https://www.boe.es/gazeta/dias/1804/03/02/pdfs/GMD-1804-18.pdf","Abrir fascículo")</f>
        <v>Abrir fascículo</v>
      </c>
    </row>
    <row r="25" spans="1:5">
      <c r="A25" s="21">
        <v>19</v>
      </c>
      <c r="B25" s="18" t="s">
        <v>350</v>
      </c>
      <c r="C25" s="24" t="s">
        <v>12860</v>
      </c>
      <c r="D25" s="24">
        <v>43</v>
      </c>
      <c r="E25" s="27" t="str">
        <f>HYPERLINK("https://www.boe.es/gazeta/dias/1804/03/06/pdfs/GMD-1804-19.pdf","Abrir fascículo")</f>
        <v>Abrir fascículo</v>
      </c>
    </row>
    <row r="26" spans="1:5">
      <c r="A26" s="21">
        <v>20</v>
      </c>
      <c r="B26" s="18" t="s">
        <v>178</v>
      </c>
      <c r="C26" s="24" t="s">
        <v>12861</v>
      </c>
      <c r="D26" s="24">
        <v>40</v>
      </c>
      <c r="E26" s="27" t="str">
        <f>HYPERLINK("https://www.boe.es/gazeta/dias/1804/03/09/pdfs/GMD-1804-20.pdf","Abrir fascículo")</f>
        <v>Abrir fascículo</v>
      </c>
    </row>
    <row r="27" spans="1:5">
      <c r="A27" s="21">
        <v>21</v>
      </c>
      <c r="B27" s="18" t="s">
        <v>182</v>
      </c>
      <c r="C27" s="24" t="s">
        <v>12862</v>
      </c>
      <c r="D27" s="24">
        <v>35</v>
      </c>
      <c r="E27" s="27" t="str">
        <f>HYPERLINK("https://www.boe.es/gazeta/dias/1804/03/13/pdfs/GMD-1804-21.pdf","Abrir fascículo")</f>
        <v>Abrir fascículo</v>
      </c>
    </row>
    <row r="28" spans="1:5">
      <c r="A28" s="21">
        <v>22</v>
      </c>
      <c r="B28" s="18" t="s">
        <v>398</v>
      </c>
      <c r="C28" s="24" t="s">
        <v>12863</v>
      </c>
      <c r="D28" s="24">
        <v>25</v>
      </c>
      <c r="E28" s="27" t="str">
        <f>HYPERLINK("https://www.boe.es/gazeta/dias/1804/03/16/pdfs/GMD-1804-22.pdf","Abrir fascículo")</f>
        <v>Abrir fascículo</v>
      </c>
    </row>
    <row r="29" spans="1:5">
      <c r="A29" s="21" t="s">
        <v>12864</v>
      </c>
      <c r="B29" s="18" t="s">
        <v>398</v>
      </c>
      <c r="C29" s="24" t="s">
        <v>12865</v>
      </c>
      <c r="D29" s="24">
        <v>25</v>
      </c>
      <c r="E29" s="27" t="str">
        <f>HYPERLINK("https://www.boe.es/gazeta/dias/1804/03/16/pdfs/GMD-C-1804-22.pdf","Abrir suplemento")</f>
        <v>Abrir suplemento</v>
      </c>
    </row>
    <row r="30" spans="1:5">
      <c r="A30" s="21">
        <v>23</v>
      </c>
      <c r="B30" s="18" t="s">
        <v>136</v>
      </c>
      <c r="C30" s="24" t="s">
        <v>12866</v>
      </c>
      <c r="D30" s="24">
        <v>46</v>
      </c>
      <c r="E30" s="27" t="str">
        <f>HYPERLINK("https://www.boe.es/gazeta/dias/1804/03/20/pdfs/GMD-1804-23.pdf","Abrir fascículo")</f>
        <v>Abrir fascículo</v>
      </c>
    </row>
    <row r="31" spans="1:5">
      <c r="A31" s="21">
        <v>24</v>
      </c>
      <c r="B31" s="18" t="s">
        <v>41</v>
      </c>
      <c r="C31" s="24" t="s">
        <v>12867</v>
      </c>
      <c r="D31" s="24">
        <v>39</v>
      </c>
      <c r="E31" s="27" t="str">
        <f>HYPERLINK("https://www.boe.es/gazeta/dias/1804/03/23/pdfs/GMD-1804-24.pdf","Abrir fascículo")</f>
        <v>Abrir fascículo</v>
      </c>
    </row>
    <row r="32" spans="1:5">
      <c r="A32" s="21">
        <v>25</v>
      </c>
      <c r="B32" s="18" t="s">
        <v>497</v>
      </c>
      <c r="C32" s="24" t="s">
        <v>12868</v>
      </c>
      <c r="D32" s="24">
        <v>27</v>
      </c>
      <c r="E32" s="27" t="str">
        <f>HYPERLINK("https://www.boe.es/gazeta/dias/1804/03/27/pdfs/GMD-1804-25.pdf","Abrir fascículo")</f>
        <v>Abrir fascículo</v>
      </c>
    </row>
    <row r="33" spans="1:5">
      <c r="A33" s="21">
        <v>26</v>
      </c>
      <c r="B33" s="18" t="s">
        <v>230</v>
      </c>
      <c r="C33" s="24" t="s">
        <v>12869</v>
      </c>
      <c r="D33" s="24">
        <v>16</v>
      </c>
      <c r="E33" s="27" t="str">
        <f>HYPERLINK("https://www.boe.es/gazeta/dias/1804/03/30/pdfs/GMD-1804-26.pdf","Abrir fascículo")</f>
        <v>Abrir fascículo</v>
      </c>
    </row>
    <row r="34" spans="1:5">
      <c r="A34" s="21">
        <v>27</v>
      </c>
      <c r="B34" s="18" t="s">
        <v>538</v>
      </c>
      <c r="C34" s="24" t="s">
        <v>12870</v>
      </c>
      <c r="D34" s="24">
        <v>40</v>
      </c>
      <c r="E34" s="27" t="str">
        <f>HYPERLINK("https://www.boe.es/gazeta/dias/1804/04/03/pdfs/GMD-1804-27.pdf","Abrir fascículo")</f>
        <v>Abrir fascículo</v>
      </c>
    </row>
    <row r="35" spans="1:5">
      <c r="A35" s="21">
        <v>28</v>
      </c>
      <c r="B35" s="18" t="s">
        <v>857</v>
      </c>
      <c r="C35" s="24" t="s">
        <v>12871</v>
      </c>
      <c r="D35" s="24">
        <v>23</v>
      </c>
      <c r="E35" s="27" t="str">
        <f>HYPERLINK("https://www.boe.es/gazeta/dias/1804/04/06/pdfs/GMD-1804-28.pdf","Abrir fascículo")</f>
        <v>Abrir fascículo</v>
      </c>
    </row>
    <row r="36" spans="1:5">
      <c r="A36" s="21">
        <v>29</v>
      </c>
      <c r="B36" s="18" t="s">
        <v>37</v>
      </c>
      <c r="C36" s="24" t="s">
        <v>12872</v>
      </c>
      <c r="D36" s="24">
        <v>113</v>
      </c>
      <c r="E36" s="27" t="str">
        <f>HYPERLINK("https://www.boe.es/gazeta/dias/1804/04/10/pdfs/GMD-1804-29.pdf","Abrir fascículo")</f>
        <v>Abrir fascículo</v>
      </c>
    </row>
    <row r="37" spans="1:5">
      <c r="A37" s="21">
        <v>30</v>
      </c>
      <c r="B37" s="18" t="s">
        <v>272</v>
      </c>
      <c r="C37" s="24" t="s">
        <v>12873</v>
      </c>
      <c r="D37" s="24">
        <v>64</v>
      </c>
      <c r="E37" s="27" t="str">
        <f>HYPERLINK("https://www.boe.es/gazeta/dias/1804/04/13/pdfs/GMD-1804-30.pdf","Abrir fascículo")</f>
        <v>Abrir fascículo</v>
      </c>
    </row>
    <row r="38" spans="1:5">
      <c r="A38" s="21">
        <v>31</v>
      </c>
      <c r="B38" s="18" t="s">
        <v>320</v>
      </c>
      <c r="C38" s="24" t="s">
        <v>12874</v>
      </c>
      <c r="D38" s="24">
        <v>48</v>
      </c>
      <c r="E38" s="27" t="str">
        <f>HYPERLINK("https://www.boe.es/gazeta/dias/1804/04/17/pdfs/GMD-1804-31.pdf","Abrir fascículo")</f>
        <v>Abrir fascículo</v>
      </c>
    </row>
    <row r="39" spans="1:5">
      <c r="A39" s="21">
        <v>32</v>
      </c>
      <c r="B39" s="18" t="s">
        <v>77</v>
      </c>
      <c r="C39" s="24" t="s">
        <v>12875</v>
      </c>
      <c r="D39" s="24">
        <v>56</v>
      </c>
      <c r="E39" s="27" t="str">
        <f>HYPERLINK("https://www.boe.es/gazeta/dias/1804/04/20/pdfs/GMD-1804-32.pdf","Abrir fascículo")</f>
        <v>Abrir fascículo</v>
      </c>
    </row>
    <row r="40" spans="1:5">
      <c r="A40" s="21">
        <v>33</v>
      </c>
      <c r="B40" s="18" t="s">
        <v>453</v>
      </c>
      <c r="C40" s="24" t="s">
        <v>12876</v>
      </c>
      <c r="D40" s="24">
        <v>60</v>
      </c>
      <c r="E40" s="27" t="str">
        <f>HYPERLINK("https://www.boe.es/gazeta/dias/1804/04/24/pdfs/GMD-1804-33.pdf","Abrir fascículo")</f>
        <v>Abrir fascículo</v>
      </c>
    </row>
    <row r="41" spans="1:5">
      <c r="A41" s="21">
        <v>34</v>
      </c>
      <c r="B41" s="18" t="s">
        <v>106</v>
      </c>
      <c r="C41" s="24" t="s">
        <v>12877</v>
      </c>
      <c r="D41" s="24">
        <v>28</v>
      </c>
      <c r="E41" s="27" t="str">
        <f>HYPERLINK("https://www.boe.es/gazeta/dias/1804/04/27/pdfs/GMD-1804-34.pdf","Abrir fascículo")</f>
        <v>Abrir fascículo</v>
      </c>
    </row>
    <row r="42" spans="1:5">
      <c r="A42" s="21">
        <v>35</v>
      </c>
      <c r="B42" s="18" t="s">
        <v>109</v>
      </c>
      <c r="C42" s="24" t="s">
        <v>12878</v>
      </c>
      <c r="D42" s="24">
        <v>49</v>
      </c>
      <c r="E42" s="27" t="str">
        <f>HYPERLINK("https://www.boe.es/gazeta/dias/1804/05/01/pdfs/GMD-1804-35.pdf","Abrir fascículo")</f>
        <v>Abrir fascículo</v>
      </c>
    </row>
    <row r="43" spans="1:5">
      <c r="A43" s="21">
        <v>36</v>
      </c>
      <c r="B43" s="18" t="s">
        <v>704</v>
      </c>
      <c r="C43" s="24" t="s">
        <v>12879</v>
      </c>
      <c r="D43" s="24">
        <v>48</v>
      </c>
      <c r="E43" s="27" t="str">
        <f>HYPERLINK("https://www.boe.es/gazeta/dias/1804/05/04/pdfs/GMD-1804-36.pdf","Abrir fascículo")</f>
        <v>Abrir fascículo</v>
      </c>
    </row>
    <row r="44" spans="1:5">
      <c r="A44" s="21">
        <v>37</v>
      </c>
      <c r="B44" s="18" t="s">
        <v>1278</v>
      </c>
      <c r="C44" s="24" t="s">
        <v>12880</v>
      </c>
      <c r="D44" s="24">
        <v>33</v>
      </c>
      <c r="E44" s="27" t="str">
        <f>HYPERLINK("https://www.boe.es/gazeta/dias/1804/05/08/pdfs/GMD-1804-37.pdf","Abrir fascículo")</f>
        <v>Abrir fascículo</v>
      </c>
    </row>
    <row r="45" spans="1:5">
      <c r="A45" s="21">
        <v>38</v>
      </c>
      <c r="B45" s="18" t="s">
        <v>172</v>
      </c>
      <c r="C45" s="24" t="s">
        <v>12881</v>
      </c>
      <c r="D45" s="24">
        <v>39</v>
      </c>
      <c r="E45" s="27" t="str">
        <f>HYPERLINK("https://www.boe.es/gazeta/dias/1804/05/11/pdfs/GMD-1804-38.pdf","Abrir fascículo")</f>
        <v>Abrir fascículo</v>
      </c>
    </row>
    <row r="46" spans="1:5">
      <c r="A46" s="21">
        <v>39</v>
      </c>
      <c r="B46" s="18" t="s">
        <v>140</v>
      </c>
      <c r="C46" s="24" t="s">
        <v>12882</v>
      </c>
      <c r="D46" s="24">
        <v>49</v>
      </c>
      <c r="E46" s="27" t="str">
        <f>HYPERLINK("https://www.boe.es/gazeta/dias/1804/05/15/pdfs/GMD-1804-39.pdf","Abrir fascículo")</f>
        <v>Abrir fascículo</v>
      </c>
    </row>
    <row r="47" spans="1:5">
      <c r="A47" s="21" t="s">
        <v>12883</v>
      </c>
      <c r="B47" s="18" t="s">
        <v>140</v>
      </c>
      <c r="C47" s="24" t="s">
        <v>12858</v>
      </c>
      <c r="D47" s="24">
        <v>2</v>
      </c>
      <c r="E47" s="27" t="str">
        <f>HYPERLINK("https://www.boe.es/gazeta/dias/1804/05/15/pdfs/GMD-C-1804-39.pdf","Abrir suplemento")</f>
        <v>Abrir suplemento</v>
      </c>
    </row>
    <row r="48" spans="1:5">
      <c r="A48" s="21">
        <v>40</v>
      </c>
      <c r="B48" s="18" t="s">
        <v>111</v>
      </c>
      <c r="C48" s="24" t="s">
        <v>12884</v>
      </c>
      <c r="D48" s="24">
        <v>59</v>
      </c>
      <c r="E48" s="27" t="str">
        <f>HYPERLINK("https://www.boe.es/gazeta/dias/1804/05/18/pdfs/GMD-1804-40.pdf","Abrir fascículo")</f>
        <v>Abrir fascículo</v>
      </c>
    </row>
    <row r="49" spans="1:5">
      <c r="A49" s="21">
        <v>41</v>
      </c>
      <c r="B49" s="18" t="s">
        <v>670</v>
      </c>
      <c r="C49" s="24" t="s">
        <v>12885</v>
      </c>
      <c r="D49" s="24">
        <v>54</v>
      </c>
      <c r="E49" s="27" t="str">
        <f>HYPERLINK("https://www.boe.es/gazeta/dias/1804/05/22/pdfs/GMD-1804-41.pdf","Abrir fascículo")</f>
        <v>Abrir fascículo</v>
      </c>
    </row>
    <row r="50" spans="1:5">
      <c r="A50" s="21">
        <v>42</v>
      </c>
      <c r="B50" s="18" t="s">
        <v>794</v>
      </c>
      <c r="C50" s="24" t="s">
        <v>12886</v>
      </c>
      <c r="D50" s="24">
        <v>40</v>
      </c>
      <c r="E50" s="27" t="str">
        <f>HYPERLINK("https://www.boe.es/gazeta/dias/1804/05/25/pdfs/GMD-1804-42.pdf","Abrir fascículo")</f>
        <v>Abrir fascículo</v>
      </c>
    </row>
    <row r="51" spans="1:5">
      <c r="A51" s="21">
        <v>43</v>
      </c>
      <c r="B51" s="18" t="s">
        <v>1179</v>
      </c>
      <c r="C51" s="24" t="s">
        <v>12887</v>
      </c>
      <c r="D51" s="24">
        <v>35</v>
      </c>
      <c r="E51" s="27" t="str">
        <f>HYPERLINK("https://www.boe.es/gazeta/dias/1804/05/29/pdfs/GMD-1804-43.pdf","Abrir fascículo")</f>
        <v>Abrir fascículo</v>
      </c>
    </row>
    <row r="52" spans="1:5">
      <c r="A52" s="21">
        <v>44</v>
      </c>
      <c r="B52" s="18" t="s">
        <v>206</v>
      </c>
      <c r="C52" s="24" t="s">
        <v>12888</v>
      </c>
      <c r="D52" s="24">
        <v>44</v>
      </c>
      <c r="E52" s="27" t="str">
        <f>HYPERLINK("https://www.boe.es/gazeta/dias/1804/06/01/pdfs/GMD-1804-44.pdf","Abrir fascículo")</f>
        <v>Abrir fascículo</v>
      </c>
    </row>
    <row r="53" spans="1:5">
      <c r="A53" s="21">
        <v>45</v>
      </c>
      <c r="B53" s="18" t="s">
        <v>800</v>
      </c>
      <c r="C53" s="24" t="s">
        <v>12889</v>
      </c>
      <c r="D53" s="24">
        <v>40</v>
      </c>
      <c r="E53" s="27" t="str">
        <f>HYPERLINK("https://www.boe.es/gazeta/dias/1804/06/05/pdfs/GMD-1804-45.pdf","Abrir fascículo")</f>
        <v>Abrir fascículo</v>
      </c>
    </row>
    <row r="54" spans="1:5">
      <c r="A54" s="21">
        <v>46</v>
      </c>
      <c r="B54" s="18" t="s">
        <v>199</v>
      </c>
      <c r="C54" s="24" t="s">
        <v>12890</v>
      </c>
      <c r="D54" s="24">
        <v>71</v>
      </c>
      <c r="E54" s="27" t="str">
        <f>HYPERLINK("https://www.boe.es/gazeta/dias/1804/06/08/pdfs/GMD-1804-46.pdf","Abrir fascículo")</f>
        <v>Abrir fascículo</v>
      </c>
    </row>
    <row r="55" spans="1:5">
      <c r="A55" s="21" t="s">
        <v>12891</v>
      </c>
      <c r="B55" s="18" t="s">
        <v>199</v>
      </c>
      <c r="C55" s="24" t="s">
        <v>12892</v>
      </c>
      <c r="D55" s="24">
        <v>0</v>
      </c>
      <c r="E55" s="27" t="str">
        <f>HYPERLINK("https://www.boe.es/gazeta/dias/1804/06/08/pdfs/GMD-C-1804-46.pdf","Abrir suplemento")</f>
        <v>Abrir suplemento</v>
      </c>
    </row>
    <row r="56" spans="1:5">
      <c r="A56" s="21">
        <v>47</v>
      </c>
      <c r="B56" s="18" t="s">
        <v>421</v>
      </c>
      <c r="C56" s="24" t="s">
        <v>12893</v>
      </c>
      <c r="D56" s="24">
        <v>84</v>
      </c>
      <c r="E56" s="27" t="str">
        <f>HYPERLINK("https://www.boe.es/gazeta/dias/1804/06/12/pdfs/GMD-1804-47.pdf","Abrir fascículo")</f>
        <v>Abrir fascículo</v>
      </c>
    </row>
    <row r="57" spans="1:5">
      <c r="A57" s="21">
        <v>48</v>
      </c>
      <c r="B57" s="18" t="s">
        <v>33</v>
      </c>
      <c r="C57" s="24" t="s">
        <v>12894</v>
      </c>
      <c r="D57" s="24">
        <v>54</v>
      </c>
      <c r="E57" s="27" t="str">
        <f>HYPERLINK("https://www.boe.es/gazeta/dias/1804/06/15/pdfs/GMD-1804-48.pdf","Abrir fascículo")</f>
        <v>Abrir fascículo</v>
      </c>
    </row>
    <row r="58" spans="1:5">
      <c r="A58" s="21" t="s">
        <v>12895</v>
      </c>
      <c r="B58" s="18" t="s">
        <v>33</v>
      </c>
      <c r="C58" s="24" t="s">
        <v>12858</v>
      </c>
      <c r="D58" s="24">
        <v>186</v>
      </c>
      <c r="E58" s="27" t="str">
        <f>HYPERLINK("https://www.boe.es/gazeta/dias/1804/06/15/pdfs/GMD-C-1804-48.pdf","Abrir suplemento")</f>
        <v>Abrir suplemento</v>
      </c>
    </row>
    <row r="59" spans="1:5">
      <c r="A59" s="21">
        <v>49</v>
      </c>
      <c r="B59" s="18" t="s">
        <v>264</v>
      </c>
      <c r="C59" s="24" t="s">
        <v>12896</v>
      </c>
      <c r="D59" s="24">
        <v>35</v>
      </c>
      <c r="E59" s="27" t="str">
        <f>HYPERLINK("https://www.boe.es/gazeta/dias/1804/06/19/pdfs/GMD-1804-49.pdf","Abrir fascículo")</f>
        <v>Abrir fascículo</v>
      </c>
    </row>
    <row r="60" spans="1:5">
      <c r="A60" s="21" t="s">
        <v>12897</v>
      </c>
      <c r="B60" s="18" t="s">
        <v>264</v>
      </c>
      <c r="C60" s="24" t="s">
        <v>12898</v>
      </c>
      <c r="D60" s="24">
        <v>26</v>
      </c>
      <c r="E60" s="27" t="str">
        <f>HYPERLINK("https://www.boe.es/gazeta/dias/1804/06/19/pdfs/GMD-C-1804-49.pdf","Abrir suplemento")</f>
        <v>Abrir suplemento</v>
      </c>
    </row>
    <row r="61" spans="1:5">
      <c r="A61" s="21">
        <v>50</v>
      </c>
      <c r="B61" s="18" t="s">
        <v>97</v>
      </c>
      <c r="C61" s="24" t="s">
        <v>12899</v>
      </c>
      <c r="D61" s="24">
        <v>41</v>
      </c>
      <c r="E61" s="27" t="str">
        <f>HYPERLINK("https://www.boe.es/gazeta/dias/1804/06/22/pdfs/GMD-1804-50.pdf","Abrir fascículo")</f>
        <v>Abrir fascículo</v>
      </c>
    </row>
    <row r="62" spans="1:5">
      <c r="A62" s="21" t="s">
        <v>12900</v>
      </c>
      <c r="B62" s="18" t="s">
        <v>97</v>
      </c>
      <c r="C62" s="24" t="s">
        <v>12901</v>
      </c>
      <c r="D62" s="24">
        <v>6</v>
      </c>
      <c r="E62" s="27" t="str">
        <f>HYPERLINK("https://www.boe.es/gazeta/dias/1804/06/22/pdfs/GMD-C-1804-50.pdf","Abrir suplemento")</f>
        <v>Abrir suplemento</v>
      </c>
    </row>
    <row r="63" spans="1:5">
      <c r="A63" s="21">
        <v>51</v>
      </c>
      <c r="B63" s="18" t="s">
        <v>623</v>
      </c>
      <c r="C63" s="24" t="s">
        <v>12902</v>
      </c>
      <c r="D63" s="24">
        <v>45</v>
      </c>
      <c r="E63" s="27" t="str">
        <f>HYPERLINK("https://www.boe.es/gazeta/dias/1804/06/26/pdfs/GMD-1804-51.pdf","Abrir fascículo")</f>
        <v>Abrir fascículo</v>
      </c>
    </row>
    <row r="64" spans="1:5">
      <c r="A64" s="21">
        <v>52</v>
      </c>
      <c r="B64" s="18" t="s">
        <v>132</v>
      </c>
      <c r="C64" s="24" t="s">
        <v>12903</v>
      </c>
      <c r="D64" s="24">
        <v>50</v>
      </c>
      <c r="E64" s="27" t="str">
        <f>HYPERLINK("https://www.boe.es/gazeta/dias/1804/06/29/pdfs/GMD-1804-52.pdf","Abrir fascículo")</f>
        <v>Abrir fascículo</v>
      </c>
    </row>
    <row r="65" spans="1:5">
      <c r="A65" s="21" t="s">
        <v>12904</v>
      </c>
      <c r="B65" s="18" t="s">
        <v>132</v>
      </c>
      <c r="C65" s="24" t="s">
        <v>12905</v>
      </c>
      <c r="D65" s="24">
        <v>0</v>
      </c>
      <c r="E65" s="27" t="str">
        <f>HYPERLINK("https://www.boe.es/gazeta/dias/1804/06/29/pdfs/GMD-C-1804-52.pdf","Abrir suplemento")</f>
        <v>Abrir suplemento</v>
      </c>
    </row>
    <row r="66" spans="1:5">
      <c r="A66" s="21">
        <v>53</v>
      </c>
      <c r="B66" s="18" t="s">
        <v>484</v>
      </c>
      <c r="C66" s="24" t="s">
        <v>12906</v>
      </c>
      <c r="D66" s="24">
        <v>67</v>
      </c>
      <c r="E66" s="27" t="str">
        <f>HYPERLINK("https://www.boe.es/gazeta/dias/1804/07/03/pdfs/GMD-1804-53.pdf","Abrir fascículo")</f>
        <v>Abrir fascículo</v>
      </c>
    </row>
    <row r="67" spans="1:5">
      <c r="A67" s="21">
        <v>54</v>
      </c>
      <c r="B67" s="18" t="s">
        <v>542</v>
      </c>
      <c r="C67" s="24" t="s">
        <v>12907</v>
      </c>
      <c r="D67" s="24">
        <v>32</v>
      </c>
      <c r="E67" s="27" t="str">
        <f>HYPERLINK("https://www.boe.es/gazeta/dias/1804/07/06/pdfs/GMD-1804-54.pdf","Abrir fascículo")</f>
        <v>Abrir fascículo</v>
      </c>
    </row>
    <row r="68" spans="1:5">
      <c r="A68" s="21">
        <v>55</v>
      </c>
      <c r="B68" s="18" t="s">
        <v>59</v>
      </c>
      <c r="C68" s="24" t="s">
        <v>12908</v>
      </c>
      <c r="D68" s="24">
        <v>48</v>
      </c>
      <c r="E68" s="27" t="str">
        <f>HYPERLINK("https://www.boe.es/gazeta/dias/1804/07/10/pdfs/GMD-1804-55.pdf","Abrir fascículo")</f>
        <v>Abrir fascículo</v>
      </c>
    </row>
    <row r="69" spans="1:5">
      <c r="A69" s="21">
        <v>56</v>
      </c>
      <c r="B69" s="18" t="s">
        <v>317</v>
      </c>
      <c r="C69" s="24" t="s">
        <v>12909</v>
      </c>
      <c r="D69" s="24">
        <v>37</v>
      </c>
      <c r="E69" s="27" t="str">
        <f>HYPERLINK("https://www.boe.es/gazeta/dias/1804/07/13/pdfs/GMD-1804-56.pdf","Abrir fascículo")</f>
        <v>Abrir fascículo</v>
      </c>
    </row>
    <row r="70" spans="1:5">
      <c r="A70" s="21">
        <v>57</v>
      </c>
      <c r="B70" s="18" t="s">
        <v>666</v>
      </c>
      <c r="C70" s="24" t="s">
        <v>12910</v>
      </c>
      <c r="D70" s="24">
        <v>58</v>
      </c>
      <c r="E70" s="27" t="str">
        <f>HYPERLINK("https://www.boe.es/gazeta/dias/1804/07/17/pdfs/GMD-1804-57.pdf","Abrir fascículo")</f>
        <v>Abrir fascículo</v>
      </c>
    </row>
    <row r="71" spans="1:5">
      <c r="A71" s="21" t="s">
        <v>12911</v>
      </c>
      <c r="B71" s="18" t="s">
        <v>666</v>
      </c>
      <c r="C71" s="24" t="s">
        <v>12912</v>
      </c>
      <c r="D71" s="24">
        <v>25</v>
      </c>
      <c r="E71" s="27" t="str">
        <f>HYPERLINK("https://www.boe.es/gazeta/dias/1804/07/17/pdfs/GMD-C-1804-57.pdf","Abrir suplemento")</f>
        <v>Abrir suplemento</v>
      </c>
    </row>
    <row r="72" spans="1:5">
      <c r="A72" s="21">
        <v>58</v>
      </c>
      <c r="B72" s="18" t="s">
        <v>175</v>
      </c>
      <c r="C72" s="24" t="s">
        <v>12913</v>
      </c>
      <c r="D72" s="24">
        <v>28</v>
      </c>
      <c r="E72" s="27" t="str">
        <f>HYPERLINK("https://www.boe.es/gazeta/dias/1804/07/20/pdfs/GMD-1804-58.pdf","Abrir fascículo")</f>
        <v>Abrir fascículo</v>
      </c>
    </row>
    <row r="73" spans="1:5">
      <c r="A73" s="21">
        <v>59</v>
      </c>
      <c r="B73" s="18" t="s">
        <v>67</v>
      </c>
      <c r="C73" s="24" t="s">
        <v>12914</v>
      </c>
      <c r="D73" s="24">
        <v>99</v>
      </c>
      <c r="E73" s="27" t="str">
        <f>HYPERLINK("https://www.boe.es/gazeta/dias/1804/07/24/pdfs/GMD-1804-59.pdf","Abrir fascículo")</f>
        <v>Abrir fascículo</v>
      </c>
    </row>
    <row r="74" spans="1:5">
      <c r="A74" s="21">
        <v>60</v>
      </c>
      <c r="B74" s="18" t="s">
        <v>19</v>
      </c>
      <c r="C74" s="24" t="s">
        <v>12915</v>
      </c>
      <c r="D74" s="24">
        <v>69</v>
      </c>
      <c r="E74" s="27" t="str">
        <f>HYPERLINK("https://www.boe.es/gazeta/dias/1804/07/27/pdfs/GMD-1804-60.pdf","Abrir fascículo")</f>
        <v>Abrir fascículo</v>
      </c>
    </row>
    <row r="75" spans="1:5">
      <c r="A75" s="21">
        <v>61</v>
      </c>
      <c r="B75" s="18" t="s">
        <v>61</v>
      </c>
      <c r="C75" s="24" t="s">
        <v>12916</v>
      </c>
      <c r="D75" s="24">
        <v>43</v>
      </c>
      <c r="E75" s="27" t="str">
        <f>HYPERLINK("https://www.boe.es/gazeta/dias/1804/07/31/pdfs/GMD-1804-61.pdf","Abrir fascículo")</f>
        <v>Abrir fascículo</v>
      </c>
    </row>
    <row r="76" spans="1:5">
      <c r="A76" s="21">
        <v>62</v>
      </c>
      <c r="B76" s="18" t="s">
        <v>587</v>
      </c>
      <c r="C76" s="24" t="s">
        <v>12917</v>
      </c>
      <c r="D76" s="24">
        <v>42</v>
      </c>
      <c r="E76" s="27" t="str">
        <f>HYPERLINK("https://www.boe.es/gazeta/dias/1804/08/03/pdfs/GMD-1804-62.pdf","Abrir fascículo")</f>
        <v>Abrir fascículo</v>
      </c>
    </row>
    <row r="77" spans="1:5">
      <c r="A77" s="21">
        <v>63</v>
      </c>
      <c r="B77" s="18" t="s">
        <v>54</v>
      </c>
      <c r="C77" s="24" t="s">
        <v>12918</v>
      </c>
      <c r="D77" s="24">
        <v>65</v>
      </c>
      <c r="E77" s="27" t="str">
        <f>HYPERLINK("https://www.boe.es/gazeta/dias/1804/08/07/pdfs/GMD-1804-63.pdf","Abrir fascículo")</f>
        <v>Abrir fascículo</v>
      </c>
    </row>
    <row r="78" spans="1:5">
      <c r="A78" s="21" t="s">
        <v>12919</v>
      </c>
      <c r="B78" s="18" t="s">
        <v>54</v>
      </c>
      <c r="C78" s="24" t="s">
        <v>12920</v>
      </c>
      <c r="D78" s="24">
        <v>0</v>
      </c>
      <c r="E78" s="27" t="str">
        <f>HYPERLINK("https://www.boe.es/gazeta/dias/1804/08/07/pdfs/GMD-C-1804-63.pdf","Abrir suplemento")</f>
        <v>Abrir suplemento</v>
      </c>
    </row>
    <row r="79" spans="1:5">
      <c r="A79" s="21">
        <v>64</v>
      </c>
      <c r="B79" s="18" t="s">
        <v>367</v>
      </c>
      <c r="C79" s="24" t="s">
        <v>12921</v>
      </c>
      <c r="D79" s="24">
        <v>68</v>
      </c>
      <c r="E79" s="27" t="str">
        <f>HYPERLINK("https://www.boe.es/gazeta/dias/1804/08/10/pdfs/GMD-1804-64.pdf","Abrir fascículo")</f>
        <v>Abrir fascículo</v>
      </c>
    </row>
    <row r="80" spans="1:5">
      <c r="A80" s="21" t="s">
        <v>12922</v>
      </c>
      <c r="B80" s="18" t="s">
        <v>367</v>
      </c>
      <c r="C80" s="24" t="s">
        <v>12923</v>
      </c>
      <c r="D80" s="24">
        <v>0</v>
      </c>
      <c r="E80" s="27" t="str">
        <f>HYPERLINK("https://www.boe.es/gazeta/dias/1804/08/10/pdfs/GMD-C-1804-64.pdf","Abrir suplemento")</f>
        <v>Abrir suplemento</v>
      </c>
    </row>
    <row r="81" spans="1:5">
      <c r="A81" s="21">
        <v>65</v>
      </c>
      <c r="B81" s="18" t="s">
        <v>378</v>
      </c>
      <c r="C81" s="24" t="s">
        <v>12924</v>
      </c>
      <c r="D81" s="24">
        <v>47</v>
      </c>
      <c r="E81" s="27" t="str">
        <f>HYPERLINK("https://www.boe.es/gazeta/dias/1804/08/14/pdfs/GMD-1804-65.pdf","Abrir fascículo")</f>
        <v>Abrir fascículo</v>
      </c>
    </row>
    <row r="82" spans="1:5">
      <c r="A82" s="21">
        <v>66</v>
      </c>
      <c r="B82" s="18" t="s">
        <v>332</v>
      </c>
      <c r="C82" s="24" t="s">
        <v>12925</v>
      </c>
      <c r="D82" s="24">
        <v>24</v>
      </c>
      <c r="E82" s="27" t="str">
        <f>HYPERLINK("https://www.boe.es/gazeta/dias/1804/08/17/pdfs/GMD-1804-66.pdf","Abrir fascículo")</f>
        <v>Abrir fascículo</v>
      </c>
    </row>
    <row r="83" spans="1:5">
      <c r="A83" s="21">
        <v>67</v>
      </c>
      <c r="B83" s="18" t="s">
        <v>216</v>
      </c>
      <c r="C83" s="24" t="s">
        <v>12926</v>
      </c>
      <c r="D83" s="24">
        <v>64</v>
      </c>
      <c r="E83" s="27" t="str">
        <f>HYPERLINK("https://www.boe.es/gazeta/dias/1804/08/21/pdfs/GMD-1804-67.pdf","Abrir fascículo")</f>
        <v>Abrir fascículo</v>
      </c>
    </row>
    <row r="84" spans="1:5">
      <c r="A84" s="21">
        <v>68</v>
      </c>
      <c r="B84" s="18" t="s">
        <v>547</v>
      </c>
      <c r="C84" s="24" t="s">
        <v>12927</v>
      </c>
      <c r="D84" s="24">
        <v>54</v>
      </c>
      <c r="E84" s="27" t="str">
        <f>HYPERLINK("https://www.boe.es/gazeta/dias/1804/08/24/pdfs/GMD-1804-68.pdf","Abrir fascículo")</f>
        <v>Abrir fascículo</v>
      </c>
    </row>
    <row r="85" spans="1:5">
      <c r="A85" s="21">
        <v>69</v>
      </c>
      <c r="B85" s="18" t="s">
        <v>326</v>
      </c>
      <c r="C85" s="24" t="s">
        <v>12928</v>
      </c>
      <c r="D85" s="24">
        <v>52</v>
      </c>
      <c r="E85" s="27" t="str">
        <f>HYPERLINK("https://www.boe.es/gazeta/dias/1804/08/28/pdfs/GMD-1804-69.pdf","Abrir fascículo")</f>
        <v>Abrir fascículo</v>
      </c>
    </row>
    <row r="86" spans="1:5">
      <c r="A86" s="21">
        <v>70</v>
      </c>
      <c r="B86" s="18" t="s">
        <v>163</v>
      </c>
      <c r="C86" s="24" t="s">
        <v>12929</v>
      </c>
      <c r="D86" s="24">
        <v>45</v>
      </c>
      <c r="E86" s="27" t="str">
        <f>HYPERLINK("https://www.boe.es/gazeta/dias/1804/08/31/pdfs/GMD-1804-70.pdf","Abrir fascículo")</f>
        <v>Abrir fascículo</v>
      </c>
    </row>
    <row r="87" spans="1:5">
      <c r="A87" s="21">
        <v>71</v>
      </c>
      <c r="B87" s="18" t="s">
        <v>241</v>
      </c>
      <c r="C87" s="24" t="s">
        <v>12930</v>
      </c>
      <c r="D87" s="24">
        <v>35</v>
      </c>
      <c r="E87" s="27" t="str">
        <f>HYPERLINK("https://www.boe.es/gazeta/dias/1804/09/04/pdfs/GMD-1804-71.pdf","Abrir fascículo")</f>
        <v>Abrir fascículo</v>
      </c>
    </row>
    <row r="88" spans="1:5">
      <c r="A88" s="21" t="s">
        <v>12931</v>
      </c>
      <c r="B88" s="18" t="s">
        <v>241</v>
      </c>
      <c r="C88" s="24" t="s">
        <v>12932</v>
      </c>
      <c r="D88" s="24">
        <v>9</v>
      </c>
      <c r="E88" s="27" t="str">
        <f>HYPERLINK("https://www.boe.es/gazeta/dias/1804/09/04/pdfs/GMD-C-1804-71.pdf","Abrir suplemento")</f>
        <v>Abrir suplemento</v>
      </c>
    </row>
    <row r="89" spans="1:5">
      <c r="A89" s="21">
        <v>72</v>
      </c>
      <c r="B89" s="18" t="s">
        <v>91</v>
      </c>
      <c r="C89" s="24" t="s">
        <v>12933</v>
      </c>
      <c r="D89" s="24">
        <v>90</v>
      </c>
      <c r="E89" s="27" t="str">
        <f>HYPERLINK("https://www.boe.es/gazeta/dias/1804/09/07/pdfs/GMD-1804-72.pdf","Abrir fascículo")</f>
        <v>Abrir fascículo</v>
      </c>
    </row>
    <row r="90" spans="1:5">
      <c r="A90" s="21">
        <v>73</v>
      </c>
      <c r="B90" s="18" t="s">
        <v>1095</v>
      </c>
      <c r="C90" s="24" t="s">
        <v>12934</v>
      </c>
      <c r="D90" s="24">
        <v>40</v>
      </c>
      <c r="E90" s="27" t="str">
        <f>HYPERLINK("https://www.boe.es/gazeta/dias/1804/09/11/pdfs/GMD-1804-73.pdf","Abrir fascículo")</f>
        <v>Abrir fascículo</v>
      </c>
    </row>
    <row r="91" spans="1:5">
      <c r="A91" s="21">
        <v>74</v>
      </c>
      <c r="B91" s="18" t="s">
        <v>637</v>
      </c>
      <c r="C91" s="24" t="s">
        <v>12935</v>
      </c>
      <c r="D91" s="24">
        <v>52</v>
      </c>
      <c r="E91" s="27" t="str">
        <f>HYPERLINK("https://www.boe.es/gazeta/dias/1804/09/14/pdfs/GMD-1804-74.pdf","Abrir fascículo")</f>
        <v>Abrir fascículo</v>
      </c>
    </row>
    <row r="92" spans="1:5">
      <c r="A92" s="21">
        <v>75</v>
      </c>
      <c r="B92" s="18" t="s">
        <v>782</v>
      </c>
      <c r="C92" s="24" t="s">
        <v>12936</v>
      </c>
      <c r="D92" s="24">
        <v>16</v>
      </c>
      <c r="E92" s="27" t="str">
        <f>HYPERLINK("https://www.boe.es/gazeta/dias/1804/09/18/pdfs/GMD-1804-75.pdf","Abrir fascículo")</f>
        <v>Abrir fascículo</v>
      </c>
    </row>
    <row r="93" spans="1:5">
      <c r="A93" s="21">
        <v>76</v>
      </c>
      <c r="B93" s="18" t="s">
        <v>466</v>
      </c>
      <c r="C93" s="24" t="s">
        <v>12937</v>
      </c>
      <c r="D93" s="24">
        <v>47</v>
      </c>
      <c r="E93" s="27" t="str">
        <f>HYPERLINK("https://www.boe.es/gazeta/dias/1804/09/21/pdfs/GMD-1804-76.pdf","Abrir fascículo")</f>
        <v>Abrir fascículo</v>
      </c>
    </row>
    <row r="94" spans="1:5">
      <c r="A94" s="21">
        <v>77</v>
      </c>
      <c r="B94" s="18" t="s">
        <v>147</v>
      </c>
      <c r="C94" s="24" t="s">
        <v>12938</v>
      </c>
      <c r="D94" s="24">
        <v>68</v>
      </c>
      <c r="E94" s="27" t="str">
        <f>HYPERLINK("https://www.boe.es/gazeta/dias/1804/09/25/pdfs/GMD-1804-77.pdf","Abrir fascículo")</f>
        <v>Abrir fascículo</v>
      </c>
    </row>
    <row r="95" spans="1:5">
      <c r="A95" s="21">
        <v>78</v>
      </c>
      <c r="B95" s="18" t="s">
        <v>47</v>
      </c>
      <c r="C95" s="24" t="s">
        <v>12939</v>
      </c>
      <c r="D95" s="24">
        <v>38</v>
      </c>
      <c r="E95" s="27" t="str">
        <f>HYPERLINK("https://www.boe.es/gazeta/dias/1804/09/28/pdfs/GMD-1804-78.pdf","Abrir fascículo")</f>
        <v>Abrir fascículo</v>
      </c>
    </row>
    <row r="96" spans="1:5">
      <c r="A96" s="21">
        <v>79</v>
      </c>
      <c r="B96" s="18" t="s">
        <v>251</v>
      </c>
      <c r="C96" s="24" t="s">
        <v>12940</v>
      </c>
      <c r="D96" s="24">
        <v>64</v>
      </c>
      <c r="E96" s="27" t="str">
        <f>HYPERLINK("https://www.boe.es/gazeta/dias/1804/10/02/pdfs/GMD-1804-79.pdf","Abrir fascículo")</f>
        <v>Abrir fascículo</v>
      </c>
    </row>
    <row r="97" spans="1:5">
      <c r="A97" s="21">
        <v>80</v>
      </c>
      <c r="B97" s="18" t="s">
        <v>427</v>
      </c>
      <c r="C97" s="24" t="s">
        <v>12941</v>
      </c>
      <c r="D97" s="24">
        <v>32</v>
      </c>
      <c r="E97" s="27" t="str">
        <f>HYPERLINK("https://www.boe.es/gazeta/dias/1804/10/05/pdfs/GMD-1804-80.pdf","Abrir fascículo")</f>
        <v>Abrir fascículo</v>
      </c>
    </row>
    <row r="98" spans="1:5">
      <c r="A98" s="21">
        <v>81</v>
      </c>
      <c r="B98" s="18" t="s">
        <v>360</v>
      </c>
      <c r="C98" s="24" t="s">
        <v>12942</v>
      </c>
      <c r="D98" s="24">
        <v>35</v>
      </c>
      <c r="E98" s="27" t="str">
        <f>HYPERLINK("https://www.boe.es/gazeta/dias/1804/10/09/pdfs/GMD-1804-81.pdf","Abrir fascículo")</f>
        <v>Abrir fascículo</v>
      </c>
    </row>
    <row r="99" spans="1:5">
      <c r="A99" s="21">
        <v>82</v>
      </c>
      <c r="B99" s="18" t="s">
        <v>709</v>
      </c>
      <c r="C99" s="24" t="s">
        <v>12943</v>
      </c>
      <c r="D99" s="24">
        <v>68</v>
      </c>
      <c r="E99" s="27" t="str">
        <f>HYPERLINK("https://www.boe.es/gazeta/dias/1804/10/12/pdfs/GMD-1804-82.pdf","Abrir fascículo")</f>
        <v>Abrir fascículo</v>
      </c>
    </row>
    <row r="100" spans="1:5">
      <c r="A100" s="21">
        <v>83</v>
      </c>
      <c r="B100" s="18" t="s">
        <v>736</v>
      </c>
      <c r="C100" s="24" t="s">
        <v>12944</v>
      </c>
      <c r="D100" s="24">
        <v>66</v>
      </c>
      <c r="E100" s="27" t="str">
        <f>HYPERLINK("https://www.boe.es/gazeta/dias/1804/10/16/pdfs/GMD-1804-83.pdf","Abrir fascículo")</f>
        <v>Abrir fascículo</v>
      </c>
    </row>
    <row r="101" spans="1:5">
      <c r="A101" s="21" t="s">
        <v>12945</v>
      </c>
      <c r="B101" s="18" t="s">
        <v>736</v>
      </c>
      <c r="C101" s="24" t="s">
        <v>12858</v>
      </c>
      <c r="D101" s="24">
        <v>4</v>
      </c>
      <c r="E101" s="27" t="str">
        <f>HYPERLINK("https://www.boe.es/gazeta/dias/1804/10/16/pdfs/GMD-C-1804-83.pdf","Abrir suplemento")</f>
        <v>Abrir suplemento</v>
      </c>
    </row>
    <row r="102" spans="1:5">
      <c r="A102" s="21">
        <v>84</v>
      </c>
      <c r="B102" s="18" t="s">
        <v>43</v>
      </c>
      <c r="C102" s="24" t="s">
        <v>12946</v>
      </c>
      <c r="D102" s="24">
        <v>44</v>
      </c>
      <c r="E102" s="27" t="str">
        <f>HYPERLINK("https://www.boe.es/gazeta/dias/1804/10/19/pdfs/GMD-1804-84.pdf","Abrir fascículo")</f>
        <v>Abrir fascículo</v>
      </c>
    </row>
    <row r="103" spans="1:5">
      <c r="A103" s="21">
        <v>85</v>
      </c>
      <c r="B103" s="18" t="s">
        <v>576</v>
      </c>
      <c r="C103" s="24" t="s">
        <v>12947</v>
      </c>
      <c r="D103" s="24">
        <v>59</v>
      </c>
      <c r="E103" s="27" t="str">
        <f>HYPERLINK("https://www.boe.es/gazeta/dias/1804/10/23/pdfs/GMD-1804-85.pdf","Abrir fascículo")</f>
        <v>Abrir fascículo</v>
      </c>
    </row>
    <row r="104" spans="1:5">
      <c r="A104" s="21">
        <v>86</v>
      </c>
      <c r="B104" s="18" t="s">
        <v>234</v>
      </c>
      <c r="C104" s="24" t="s">
        <v>12948</v>
      </c>
      <c r="D104" s="24">
        <v>34</v>
      </c>
      <c r="E104" s="27" t="str">
        <f>HYPERLINK("https://www.boe.es/gazeta/dias/1804/10/26/pdfs/GMD-1804-86.pdf","Abrir fascículo")</f>
        <v>Abrir fascículo</v>
      </c>
    </row>
    <row r="105" spans="1:5">
      <c r="A105" s="21" t="s">
        <v>12949</v>
      </c>
      <c r="B105" s="18" t="s">
        <v>234</v>
      </c>
      <c r="C105" s="24" t="s">
        <v>12950</v>
      </c>
      <c r="D105" s="24">
        <v>0</v>
      </c>
      <c r="E105" s="27" t="str">
        <f>HYPERLINK("https://www.boe.es/gazeta/dias/1804/10/26/pdfs/GMD-C-1804-86.pdf","Abrir suplemento")</f>
        <v>Abrir suplemento</v>
      </c>
    </row>
    <row r="106" spans="1:5">
      <c r="A106" s="21">
        <v>87</v>
      </c>
      <c r="B106" s="18" t="s">
        <v>143</v>
      </c>
      <c r="C106" s="24" t="s">
        <v>12951</v>
      </c>
      <c r="D106" s="24">
        <v>81</v>
      </c>
      <c r="E106" s="27" t="str">
        <f>HYPERLINK("https://www.boe.es/gazeta/dias/1804/10/30/pdfs/GMD-1804-87.pdf","Abrir fascículo")</f>
        <v>Abrir fascículo</v>
      </c>
    </row>
    <row r="107" spans="1:5">
      <c r="A107" s="21">
        <v>88</v>
      </c>
      <c r="B107" s="18" t="s">
        <v>29</v>
      </c>
      <c r="C107" s="24" t="s">
        <v>12952</v>
      </c>
      <c r="D107" s="24">
        <v>68</v>
      </c>
      <c r="E107" s="27" t="str">
        <f>HYPERLINK("https://www.boe.es/gazeta/dias/1804/11/02/pdfs/GMD-1804-88.pdf","Abrir fascículo")</f>
        <v>Abrir fascículo</v>
      </c>
    </row>
    <row r="108" spans="1:5">
      <c r="A108" s="21">
        <v>89</v>
      </c>
      <c r="B108" s="18" t="s">
        <v>212</v>
      </c>
      <c r="C108" s="24" t="s">
        <v>12953</v>
      </c>
      <c r="D108" s="24">
        <v>51</v>
      </c>
      <c r="E108" s="27" t="str">
        <f>HYPERLINK("https://www.boe.es/gazeta/dias/1804/11/06/pdfs/GMD-1804-89.pdf","Abrir fascículo")</f>
        <v>Abrir fascículo</v>
      </c>
    </row>
    <row r="109" spans="1:5">
      <c r="A109" s="21">
        <v>90</v>
      </c>
      <c r="B109" s="18" t="s">
        <v>950</v>
      </c>
      <c r="C109" s="24" t="s">
        <v>12954</v>
      </c>
      <c r="D109" s="24">
        <v>52</v>
      </c>
      <c r="E109" s="27" t="str">
        <f>HYPERLINK("https://www.boe.es/gazeta/dias/1804/11/09/pdfs/GMD-1804-90.pdf","Abrir fascículo")</f>
        <v>Abrir fascículo</v>
      </c>
    </row>
    <row r="110" spans="1:5">
      <c r="A110" s="21">
        <v>91</v>
      </c>
      <c r="B110" s="18" t="s">
        <v>23</v>
      </c>
      <c r="C110" s="24" t="s">
        <v>12955</v>
      </c>
      <c r="D110" s="24">
        <v>56</v>
      </c>
      <c r="E110" s="27" t="str">
        <f>HYPERLINK("https://www.boe.es/gazeta/dias/1804/11/13/pdfs/GMD-1804-91.pdf","Abrir fascículo")</f>
        <v>Abrir fascículo</v>
      </c>
    </row>
    <row r="111" spans="1:5">
      <c r="A111" s="21">
        <v>92</v>
      </c>
      <c r="B111" s="18" t="s">
        <v>155</v>
      </c>
      <c r="C111" s="24" t="s">
        <v>12956</v>
      </c>
      <c r="D111" s="24">
        <v>52</v>
      </c>
      <c r="E111" s="27" t="str">
        <f>HYPERLINK("https://www.boe.es/gazeta/dias/1804/11/16/pdfs/GMD-1804-92.pdf","Abrir fascículo")</f>
        <v>Abrir fascículo</v>
      </c>
    </row>
    <row r="112" spans="1:5">
      <c r="A112" s="21">
        <v>93</v>
      </c>
      <c r="B112" s="18" t="s">
        <v>50</v>
      </c>
      <c r="C112" s="24" t="s">
        <v>12957</v>
      </c>
      <c r="D112" s="24">
        <v>51</v>
      </c>
      <c r="E112" s="27" t="str">
        <f>HYPERLINK("https://www.boe.es/gazeta/dias/1804/11/20/pdfs/GMD-1804-93.pdf","Abrir fascículo")</f>
        <v>Abrir fascículo</v>
      </c>
    </row>
    <row r="113" spans="1:5">
      <c r="A113" s="21">
        <v>94</v>
      </c>
      <c r="B113" s="18" t="s">
        <v>339</v>
      </c>
      <c r="C113" s="24" t="s">
        <v>12958</v>
      </c>
      <c r="D113" s="24">
        <v>40</v>
      </c>
      <c r="E113" s="27" t="str">
        <f>HYPERLINK("https://www.boe.es/gazeta/dias/1804/11/23/pdfs/GMD-1804-94.pdf","Abrir fascículo")</f>
        <v>Abrir fascículo</v>
      </c>
    </row>
    <row r="114" spans="1:5">
      <c r="A114" s="21" t="s">
        <v>12959</v>
      </c>
      <c r="B114" s="18" t="s">
        <v>339</v>
      </c>
      <c r="C114" s="24" t="s">
        <v>12960</v>
      </c>
      <c r="D114" s="24">
        <v>0</v>
      </c>
      <c r="E114" s="27" t="str">
        <f>HYPERLINK("https://www.boe.es/gazeta/dias/1804/11/23/pdfs/GMD-C-1804-94.pdf","Abrir suplemento")</f>
        <v>Abrir suplemento</v>
      </c>
    </row>
    <row r="115" spans="1:5">
      <c r="A115" s="21">
        <v>95</v>
      </c>
      <c r="B115" s="18" t="s">
        <v>526</v>
      </c>
      <c r="C115" s="24" t="s">
        <v>12961</v>
      </c>
      <c r="D115" s="24">
        <v>50</v>
      </c>
      <c r="E115" s="27" t="str">
        <f>HYPERLINK("https://www.boe.es/gazeta/dias/1804/11/27/pdfs/GMD-1804-95.pdf","Abrir fascículo")</f>
        <v>Abrir fascículo</v>
      </c>
    </row>
    <row r="116" spans="1:5">
      <c r="A116" s="21">
        <v>96</v>
      </c>
      <c r="B116" s="18" t="s">
        <v>308</v>
      </c>
      <c r="C116" s="24" t="s">
        <v>12962</v>
      </c>
      <c r="D116" s="24">
        <v>103</v>
      </c>
      <c r="E116" s="27" t="str">
        <f>HYPERLINK("https://www.boe.es/gazeta/dias/1804/11/30/pdfs/GMD-1804-96.pdf","Abrir fascículo")</f>
        <v>Abrir fascículo</v>
      </c>
    </row>
    <row r="117" spans="1:5">
      <c r="A117" s="21">
        <v>97</v>
      </c>
      <c r="B117" s="18" t="s">
        <v>208</v>
      </c>
      <c r="C117" s="24" t="s">
        <v>12963</v>
      </c>
      <c r="D117" s="24">
        <v>49</v>
      </c>
      <c r="E117" s="27" t="str">
        <f>HYPERLINK("https://www.boe.es/gazeta/dias/1804/12/04/pdfs/GMD-1804-97.pdf","Abrir fascículo")</f>
        <v>Abrir fascículo</v>
      </c>
    </row>
    <row r="118" spans="1:5">
      <c r="A118" s="21">
        <v>98</v>
      </c>
      <c r="B118" s="18" t="s">
        <v>81</v>
      </c>
      <c r="C118" s="24" t="s">
        <v>12964</v>
      </c>
      <c r="D118" s="24">
        <v>70</v>
      </c>
      <c r="E118" s="27" t="str">
        <f>HYPERLINK("https://www.boe.es/gazeta/dias/1804/12/07/pdfs/GMD-1804-98.pdf","Abrir fascículo")</f>
        <v>Abrir fascículo</v>
      </c>
    </row>
    <row r="119" spans="1:5">
      <c r="A119" s="21" t="s">
        <v>12965</v>
      </c>
      <c r="B119" s="18" t="s">
        <v>81</v>
      </c>
      <c r="C119" s="24" t="s">
        <v>12966</v>
      </c>
      <c r="D119" s="24">
        <v>0</v>
      </c>
      <c r="E119" s="27" t="str">
        <f>HYPERLINK("https://www.boe.es/gazeta/dias/1804/12/07/pdfs/GMD-C-1804-98.pdf","Abrir suplemento")</f>
        <v>Abrir suplemento</v>
      </c>
    </row>
    <row r="120" spans="1:5">
      <c r="A120" s="21">
        <v>99</v>
      </c>
      <c r="B120" s="18" t="s">
        <v>71</v>
      </c>
      <c r="C120" s="24" t="s">
        <v>12967</v>
      </c>
      <c r="D120" s="24">
        <v>186</v>
      </c>
      <c r="E120" s="27" t="str">
        <f>HYPERLINK("https://www.boe.es/gazeta/dias/1804/12/11/pdfs/GMD-1804-99.pdf","Abrir fascículo")</f>
        <v>Abrir fascículo</v>
      </c>
    </row>
    <row r="121" spans="1:5">
      <c r="A121" s="21" t="s">
        <v>12968</v>
      </c>
      <c r="B121" s="18" t="s">
        <v>71</v>
      </c>
      <c r="C121" s="24" t="s">
        <v>12858</v>
      </c>
      <c r="D121" s="24">
        <v>1</v>
      </c>
      <c r="E121" s="27" t="str">
        <f>HYPERLINK("https://www.boe.es/gazeta/dias/1804/12/11/pdfs/GMD-C-1804-99.pdf","Abrir suplemento")</f>
        <v>Abrir suplemento</v>
      </c>
    </row>
    <row r="122" spans="1:5">
      <c r="A122" s="21">
        <v>100</v>
      </c>
      <c r="B122" s="18" t="s">
        <v>490</v>
      </c>
      <c r="C122" s="24" t="s">
        <v>12969</v>
      </c>
      <c r="D122" s="24">
        <v>50</v>
      </c>
      <c r="E122" s="27" t="str">
        <f>HYPERLINK("https://www.boe.es/gazeta/dias/1804/12/14/pdfs/GMD-1804-100.pdf","Abrir fascículo")</f>
        <v>Abrir fascículo</v>
      </c>
    </row>
    <row r="123" spans="1:5">
      <c r="A123" s="21">
        <v>101</v>
      </c>
      <c r="B123" s="18" t="s">
        <v>191</v>
      </c>
      <c r="C123" s="24" t="s">
        <v>12970</v>
      </c>
      <c r="D123" s="24">
        <v>70</v>
      </c>
      <c r="E123" s="27" t="str">
        <f>HYPERLINK("https://www.boe.es/gazeta/dias/1804/12/18/pdfs/GMD-1804-101.pdf","Abrir fascículo")</f>
        <v>Abrir fascículo</v>
      </c>
    </row>
    <row r="124" spans="1:5">
      <c r="A124" s="21">
        <v>102</v>
      </c>
      <c r="B124" s="18" t="s">
        <v>515</v>
      </c>
      <c r="C124" s="24" t="s">
        <v>12971</v>
      </c>
      <c r="D124" s="24">
        <v>27</v>
      </c>
      <c r="E124" s="27" t="str">
        <f>HYPERLINK("https://www.boe.es/gazeta/dias/1804/12/21/pdfs/GMD-1804-102.pdf","Abrir fascículo")</f>
        <v>Abrir fascículo</v>
      </c>
    </row>
    <row r="125" spans="1:5">
      <c r="A125" s="21">
        <v>103</v>
      </c>
      <c r="B125" s="18" t="s">
        <v>1020</v>
      </c>
      <c r="C125" s="24" t="s">
        <v>12972</v>
      </c>
      <c r="D125" s="24">
        <v>28</v>
      </c>
      <c r="E125" s="27" t="str">
        <f>HYPERLINK("https://www.boe.es/gazeta/dias/1804/12/25/pdfs/GMD-1804-103.pdf","Abrir fascículo")</f>
        <v>Abrir fascículo</v>
      </c>
    </row>
    <row r="126" spans="1:5">
      <c r="A126" s="21" t="s">
        <v>12973</v>
      </c>
      <c r="B126" s="18" t="s">
        <v>1020</v>
      </c>
      <c r="C126" s="24" t="s">
        <v>12901</v>
      </c>
      <c r="D126" s="24">
        <v>1</v>
      </c>
      <c r="E126" s="27" t="str">
        <f>HYPERLINK("https://www.boe.es/gazeta/dias/1804/12/25/pdfs/GMD-C-1804-103.pdf","Abrir suplemento")</f>
        <v>Abrir suplemento</v>
      </c>
    </row>
    <row r="127" spans="1:5">
      <c r="A127" s="21" t="s">
        <v>12974</v>
      </c>
      <c r="B127" s="18" t="s">
        <v>1020</v>
      </c>
      <c r="C127" s="24" t="s">
        <v>12975</v>
      </c>
      <c r="D127" s="24">
        <v>0</v>
      </c>
      <c r="E127" s="27" t="str">
        <f>HYPERLINK("https://www.boe.es/gazeta/dias/1804/12/25/pdfs/GMD-D-1804-103.pdf","Abrir relación")</f>
        <v>Abrir relación</v>
      </c>
    </row>
    <row r="128" spans="1:5">
      <c r="A128" s="22">
        <v>104</v>
      </c>
      <c r="B128" s="19" t="s">
        <v>678</v>
      </c>
      <c r="C128" s="25" t="s">
        <v>12976</v>
      </c>
      <c r="D128" s="25">
        <v>48</v>
      </c>
      <c r="E128" s="28" t="str">
        <f>HYPERLINK("https://www.boe.es/gazeta/dias/1804/12/28/pdfs/GMD-1804-104.pdf","Abrir fascículo")</f>
        <v>Abrir fascículo</v>
      </c>
    </row>
    <row r="130" spans="1:5" ht="48" customHeight="1">
      <c r="A130" s="29" t="s">
        <v>12977</v>
      </c>
      <c r="B130" s="34" t="s">
        <v>12978</v>
      </c>
      <c r="C130" s="34"/>
      <c r="D130" s="34"/>
      <c r="E130" s="34"/>
    </row>
    <row r="131" spans="1:5" ht="48" customHeight="1">
      <c r="A131" s="29" t="s">
        <v>12979</v>
      </c>
      <c r="B131" s="34" t="s">
        <v>12980</v>
      </c>
      <c r="C131" s="34"/>
      <c r="D131" s="34"/>
      <c r="E131" s="34"/>
    </row>
    <row r="132" spans="1:5" ht="48" customHeight="1">
      <c r="A132" s="29" t="s">
        <v>12981</v>
      </c>
      <c r="B132" s="34" t="s">
        <v>12982</v>
      </c>
      <c r="C132" s="34"/>
      <c r="D132" s="34"/>
      <c r="E132" s="34"/>
    </row>
    <row r="133" spans="1:5" ht="48" customHeight="1">
      <c r="A133" s="29" t="s">
        <v>12983</v>
      </c>
      <c r="B133" s="34" t="s">
        <v>12984</v>
      </c>
      <c r="C133" s="34"/>
      <c r="D133" s="34"/>
      <c r="E133" s="34"/>
    </row>
    <row r="134" spans="1:5" ht="48" customHeight="1">
      <c r="A134" s="29" t="s">
        <v>12985</v>
      </c>
      <c r="B134" s="34" t="s">
        <v>12986</v>
      </c>
      <c r="C134" s="34"/>
      <c r="D134" s="34"/>
      <c r="E134" s="34"/>
    </row>
    <row r="135" spans="1:5" ht="48" customHeight="1">
      <c r="A135" s="29" t="s">
        <v>12987</v>
      </c>
      <c r="B135" s="34" t="s">
        <v>12988</v>
      </c>
      <c r="C135" s="34"/>
      <c r="D135" s="34"/>
      <c r="E135" s="34"/>
    </row>
    <row r="136" spans="1:5" ht="48" customHeight="1">
      <c r="A136" s="29" t="s">
        <v>12989</v>
      </c>
      <c r="B136" s="34" t="s">
        <v>12990</v>
      </c>
      <c r="C136" s="34"/>
      <c r="D136" s="34"/>
      <c r="E136" s="34"/>
    </row>
    <row r="137" spans="1:5" ht="48" customHeight="1">
      <c r="A137" s="29" t="s">
        <v>12991</v>
      </c>
      <c r="B137" s="34" t="s">
        <v>12992</v>
      </c>
      <c r="C137" s="34"/>
      <c r="D137" s="34"/>
      <c r="E137" s="34"/>
    </row>
    <row r="138" spans="1:5" ht="48" customHeight="1">
      <c r="A138" s="29" t="s">
        <v>12993</v>
      </c>
      <c r="B138" s="34" t="s">
        <v>12994</v>
      </c>
      <c r="C138" s="34"/>
      <c r="D138" s="34"/>
      <c r="E138" s="34"/>
    </row>
    <row r="139" spans="1:5" ht="48" customHeight="1">
      <c r="A139" s="29" t="s">
        <v>12995</v>
      </c>
      <c r="B139" s="34" t="s">
        <v>12996</v>
      </c>
      <c r="C139" s="34"/>
      <c r="D139" s="34"/>
      <c r="E139" s="34"/>
    </row>
    <row r="140" spans="1:5" ht="48" customHeight="1">
      <c r="A140" s="29" t="s">
        <v>12997</v>
      </c>
      <c r="B140" s="34" t="s">
        <v>12998</v>
      </c>
      <c r="C140" s="34"/>
      <c r="D140" s="34"/>
      <c r="E140" s="34"/>
    </row>
  </sheetData>
  <mergeCells count="12">
    <mergeCell ref="B139:E139"/>
    <mergeCell ref="B140:E140"/>
    <mergeCell ref="B134:E134"/>
    <mergeCell ref="B135:E135"/>
    <mergeCell ref="B136:E136"/>
    <mergeCell ref="B137:E137"/>
    <mergeCell ref="B138:E138"/>
    <mergeCell ref="A1:E1"/>
    <mergeCell ref="B130:E130"/>
    <mergeCell ref="B131:E131"/>
    <mergeCell ref="B132:E132"/>
    <mergeCell ref="B133:E133"/>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2026-09-25T06:24:34Z</dcterms:created>
  <dcterms:modified xsi:type="dcterms:W3CDTF">2026-09-25T06:24:34Z</dcterms:modified>
</cp:coreProperties>
</file>